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zjBsxOptIFkm0OD0THwcwZnykcTVAwBAHTYCfsUurHqLT5gm9FE3hf4/2avvSVbtnO/CCF28QhQaLEHGOGP+Xg==" workbookSaltValue="VA3q1D+XBi+cj6gjQS+3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S19" i="8"/>
  <c r="F12" i="21"/>
  <c r="BG10" i="8"/>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Q17" i="20"/>
  <c r="Q18" i="20" s="1"/>
  <c r="V11" i="16"/>
  <c r="BF17" i="11"/>
  <c r="BF16" i="11"/>
  <c r="S17" i="16"/>
  <c r="V12" i="21"/>
  <c r="V17" i="16"/>
  <c r="BK15" i="11"/>
  <c r="AZ17" i="11"/>
  <c r="BI10" i="11"/>
  <c r="Q10" i="21"/>
  <c r="BJ11" i="11"/>
  <c r="R10" i="21"/>
  <c r="R13" i="21" s="1"/>
  <c r="R19" i="21" s="1"/>
  <c r="BI17" i="11"/>
  <c r="BL11" i="11"/>
  <c r="BM15" i="11"/>
  <c r="T15" i="16"/>
  <c r="BU15" i="17"/>
  <c r="BW17" i="20"/>
  <c r="AP16" i="20"/>
  <c r="BH9" i="16"/>
  <c r="V15" i="11"/>
  <c r="BJ17" i="11"/>
  <c r="BH15" i="11"/>
  <c r="BH15" i="16"/>
  <c r="BL12" i="11"/>
  <c r="S9" i="17"/>
  <c r="V9" i="11"/>
  <c r="BG9" i="11"/>
  <c r="BH17" i="11"/>
  <c r="T17" i="16"/>
  <c r="BW9" i="20"/>
  <c r="BV16"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BV15" i="16"/>
  <c r="BU9" i="17"/>
  <c r="BU17" i="17"/>
  <c r="BU12" i="17"/>
  <c r="AZ16" i="11"/>
  <c r="X17" i="17"/>
  <c r="P15" i="17"/>
  <c r="P18" i="17" s="1"/>
  <c r="P19" i="17" s="1"/>
  <c r="BL15" i="11"/>
  <c r="BJ10" i="11"/>
  <c r="BH11" i="11"/>
  <c r="S17" i="17"/>
  <c r="BH12" i="16"/>
  <c r="L12" i="2"/>
  <c r="X15" i="16"/>
  <c r="X18" i="16" s="1"/>
  <c r="BW15" i="20"/>
  <c r="S11" i="17"/>
  <c r="S15" i="16"/>
  <c r="S18" i="16" s="1"/>
  <c r="BF12" i="11"/>
  <c r="BL10" i="11"/>
  <c r="BK16" i="11"/>
  <c r="BM9" i="11"/>
  <c r="Q9" i="11" s="1"/>
  <c r="BK10" i="11"/>
  <c r="S16" i="17"/>
  <c r="V10" i="16"/>
  <c r="BW16" i="20"/>
  <c r="BV10" i="16"/>
  <c r="AZ11" i="11"/>
  <c r="BG16" i="11"/>
  <c r="S15" i="17"/>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AL19" i="21"/>
  <c r="BF13" i="8"/>
  <c r="G19" i="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<sst xmlns="http://schemas.openxmlformats.org/spreadsheetml/2006/main" count="2102" uniqueCount="918">
  <si>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</si>
  <si>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</si>
  <si>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</si>
  <si>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</si>
  <si>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</si>
  <si>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</si>
  <si>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</si>
  <si>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</si>
  <si>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</si>
  <si>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</si>
  <si>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</si>
  <si>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</si>
  <si>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</si>
  <si>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</si>
  <si>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</si>
  <si>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</si>
  <si>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</si>
  <si>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</si>
  <si>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</si>
  <si>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</si>
  <si>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</si>
  <si>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</si>
  <si>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</si>
  <si>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</si>
  <si>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</si>
  <si>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</si>
  <si>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</si>
  <si>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</si>
  <si>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</si>
  <si>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</si>
  <si>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</si>
  <si>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</si>
  <si>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</si>
  <si>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</si>
  <si>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</si>
  <si>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</si>
  <si>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</si>
  <si>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</si>
  <si>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</si>
  <si>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</si>
  <si>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</si>
  <si>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</si>
  <si>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</si>
  <si>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</si>
  <si>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</si>
  <si>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</si>
  <si>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</si>
  <si>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</si>
  <si>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</si>
  <si>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</si>
  <si>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</si>
  <si>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</si>
  <si>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</si>
  <si>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</si>
  <si>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</si>
  <si>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</si>
  <si>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</si>
  <si>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</si>
  <si>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</si>
  <si>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</si>
  <si>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</si>
  <si>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</si>
  <si>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</si>
  <si>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</si>
  <si>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</si>
  <si>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</si>
  <si>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</si>
  <si>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</si>
  <si>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</si>
  <si>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</si>
  <si>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</si>
  <si>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</si>
  <si>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</si>
  <si>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</si>
  <si>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</si>
  <si>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</si>
  <si>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</si>
  <si>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</si>
  <si>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</si>
  <si>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</si>
  <si>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</si>
  <si>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</si>
  <si>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</si>
  <si>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</si>
  <si>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</si>
  <si>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</si>
  <si>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</si>
  <si>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</si>
  <si>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</si>
  <si>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</si>
  <si>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</si>
  <si>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</si>
  <si>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</si>
  <si>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</si>
  <si>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</si>
  <si>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</si>
  <si>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</si>
  <si>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</si>
  <si>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</si>
  <si>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</si>
  <si>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</si>
  <si>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</si>
  <si>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</si>
  <si>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</si>
  <si>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</si>
  <si>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</si>
  <si>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</si>
  <si>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</si>
  <si>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</si>
  <si>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</si>
  <si>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</si>
  <si>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</si>
  <si>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</si>
  <si>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</si>
  <si>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</si>
  <si>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</si>
  <si>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</si>
  <si>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</si>
  <si>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</si>
  <si>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</si>
  <si>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</si>
  <si>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</si>
  <si>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</si>
  <si>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</si>
  <si>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</si>
  <si>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</si>
  <si>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</si>
  <si>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</si>
  <si>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</si>
  <si>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</si>
  <si>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</si>
  <si>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</si>
  <si>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</si>
  <si>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</si>
  <si>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</si>
  <si>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</si>
  <si>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</si>
  <si>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</si>
  <si>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</si>
  <si>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</si>
  <si>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</si>
  <si>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</si>
  <si>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</si>
  <si>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</si>
  <si>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</si>
  <si>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</si>
  <si>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</si>
  <si>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</si>
  <si>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</si>
  <si>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</si>
  <si>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</si>
  <si>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</si>
  <si>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</si>
  <si>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</si>
  <si>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</si>
  <si>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</si>
  <si>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</si>
  <si>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</si>
  <si>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</si>
  <si>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</si>
  <si>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</si>
  <si>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</si>
  <si>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</si>
  <si>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</si>
  <si>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</si>
  <si>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</si>
  <si>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</si>
  <si>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</si>
  <si>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</si>
  <si>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</si>
  <si>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</si>
  <si>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</si>
  <si>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</si>
  <si>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</si>
  <si>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</si>
  <si>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</si>
  <si>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</si>
  <si>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</si>
  <si>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</si>
  <si>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</si>
  <si>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</si>
  <si>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</si>
  <si>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</si>
  <si>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</si>
  <si>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</si>
  <si>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</si>
  <si>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</si>
  <si>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</si>
  <si>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</si>
  <si>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</si>
  <si>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</si>
  <si>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</si>
  <si>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</si>
  <si>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</si>
  <si>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</si>
  <si>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</si>
  <si>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</si>
  <si>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</si>
  <si>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</si>
  <si>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</si>
  <si>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</si>
  <si>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</si>
  <si>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</si>
  <si>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</si>
  <si>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</si>
  <si>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</si>
  <si>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</si>
  <si>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</si>
  <si>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</si>
  <si>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</si>
  <si>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</si>
  <si>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</si>
  <si>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</si>
  <si>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</si>
  <si>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</si>
  <si>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</si>
  <si>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</si>
  <si>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</si>
  <si>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</si>
  <si>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</si>
  <si>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</si>
  <si>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</si>
  <si>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</si>
  <si>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</si>
  <si>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</si>
  <si>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</si>
  <si>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</si>
  <si>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</si>
  <si>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</si>
  <si>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</si>
  <si>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</si>
  <si>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</si>
  <si>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</si>
  <si>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</si>
  <si>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</si>
  <si>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</si>
  <si>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</si>
  <si>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</si>
  <si>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</si>
  <si>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</si>
  <si>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</si>
  <si>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</si>
  <si>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</si>
  <si>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</si>
  <si>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</si>
  <si>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</si>
  <si>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</si>
  <si>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</si>
  <si>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</si>
  <si>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</si>
  <si>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</si>
  <si>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</si>
  <si>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</si>
  <si>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</si>
  <si>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</si>
  <si>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</si>
  <si>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</si>
  <si>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</si>
  <si>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</si>
  <si>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</si>
  <si>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</si>
  <si>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</si>
  <si>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</si>
  <si>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</si>
  <si>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</si>
  <si>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</si>
  <si>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</si>
  <si>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</si>
  <si>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</si>
  <si>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</si>
  <si>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</si>
  <si>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</si>
  <si>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</si>
  <si>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</si>
  <si>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</si>
  <si>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</si>
  <si>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</si>
  <si>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</si>
  <si>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</si>
  <si>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</si>
  <si>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</si>
  <si>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</si>
  <si>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</si>
  <si>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</si>
  <si>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</si>
  <si>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</si>
  <si>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</si>
  <si>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</si>
  <si>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</si>
  <si>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</si>
  <si>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</si>
  <si>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</si>
  <si>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</si>
  <si>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</si>
  <si>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</si>
  <si>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</si>
  <si>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</si>
  <si>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</si>
  <si>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</si>
  <si>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</si>
  <si>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</si>
  <si>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</si>
  <si>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</si>
  <si>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</si>
  <si>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</si>
  <si>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</si>
  <si>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</si>
  <si>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</si>
  <si>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</si>
  <si>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</si>
  <si>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</si>
  <si>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</si>
  <si>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</si>
  <si>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</si>
  <si>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</si>
  <si>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</si>
  <si>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</si>
  <si>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</si>
  <si>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</si>
  <si>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</si>
  <si>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</si>
  <si>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</si>
  <si>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</si>
  <si>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</si>
  <si>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</si>
  <si>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</si>
  <si>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</si>
  <si>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</si>
  <si>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</si>
  <si>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</si>
  <si>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</si>
  <si>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</si>
  <si>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</si>
  <si>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</si>
  <si>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</si>
  <si>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</si>
  <si>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</si>
  <si>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</si>
  <si>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</si>
  <si>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</si>
  <si>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</si>
  <si>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</si>
  <si>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</si>
  <si>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</si>
  <si>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</si>
  <si>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</si>
  <si>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</si>
  <si>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</si>
  <si>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</si>
  <si>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</si>
  <si>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</si>
  <si>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</si>
  <si>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</si>
  <si>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</si>
  <si>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</si>
  <si>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</si>
  <si>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</si>
  <si>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</si>
  <si>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</si>
  <si>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</si>
  <si>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</si>
  <si>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</si>
  <si>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</si>
  <si>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</si>
  <si>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</si>
  <si>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</si>
  <si>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</si>
  <si>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</si>
  <si>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</si>
  <si>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</si>
  <si>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</si>
  <si>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</si>
  <si>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</si>
  <si>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</si>
  <si>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</si>
  <si>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</si>
  <si>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</si>
  <si>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</si>
  <si>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</si>
  <si>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</si>
  <si>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</si>
  <si>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</si>
  <si>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</si>
  <si>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</si>
  <si>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</si>
  <si>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</si>
  <si>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</si>
  <si>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</si>
  <si>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</si>
  <si>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</si>
  <si>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</si>
  <si>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</si>
  <si>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</si>
  <si>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</si>
  <si>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</si>
  <si>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</si>
  <si>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</si>
  <si>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</si>
  <si>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</si>
  <si>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</si>
  <si>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</si>
  <si>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</si>
  <si>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</si>
  <si>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</si>
  <si>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</si>
  <si>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</si>
  <si>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</si>
  <si>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</si>
  <si>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</si>
  <si>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</si>
  <si>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</si>
  <si>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</si>
  <si>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</si>
  <si>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</si>
  <si>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</si>
  <si>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</si>
  <si>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</si>
  <si>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</si>
  <si>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</si>
  <si>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</si>
  <si>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</si>
  <si>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</si>
  <si>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</si>
  <si>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</si>
  <si>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</si>
  <si>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</si>
  <si>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</si>
  <si>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</si>
  <si>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</si>
  <si>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</si>
  <si>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</si>
  <si>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</si>
  <si>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</si>
  <si>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</si>
  <si>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</si>
  <si>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</si>
  <si>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</si>
  <si>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</si>
  <si>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</si>
  <si>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</si>
  <si>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</si>
  <si>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</si>
  <si>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</si>
  <si>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</si>
  <si>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</si>
  <si>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</si>
  <si>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</si>
  <si>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</si>
  <si>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</si>
  <si>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</si>
  <si>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</si>
  <si>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</si>
  <si>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</si>
  <si>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</si>
  <si>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</si>
  <si>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</si>
  <si>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</si>
  <si>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</si>
  <si>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</si>
  <si>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</si>
  <si>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</si>
  <si>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</si>
  <si>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</si>
  <si>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</si>
  <si>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</si>
  <si>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</si>
  <si>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</si>
  <si>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</si>
  <si>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</si>
  <si>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</si>
  <si>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</si>
  <si>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</si>
  <si>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</si>
  <si>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</si>
  <si>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</si>
  <si>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</si>
  <si>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</si>
  <si>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</si>
  <si>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</si>
  <si>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</si>
  <si>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</si>
  <si>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</si>
  <si>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</si>
  <si>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</si>
  <si>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</si>
  <si>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</si>
  <si>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</si>
  <si>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</si>
  <si>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</si>
  <si>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</si>
  <si>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</si>
  <si>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</si>
  <si>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</si>
  <si>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</si>
  <si>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</si>
  <si>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</si>
  <si>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</si>
  <si>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</si>
  <si>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</si>
  <si>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</si>
  <si>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</si>
  <si>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</si>
  <si>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</si>
  <si>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</si>
  <si>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</si>
  <si>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</si>
  <si>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</si>
  <si>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</si>
  <si>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</si>
  <si>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</si>
  <si>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</si>
  <si>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</si>
  <si>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</si>
  <si>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</si>
  <si>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</si>
  <si>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</si>
  <si>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</si>
  <si>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</si>
  <si>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</si>
  <si>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</si>
  <si>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</si>
  <si>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</si>
  <si>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</si>
  <si>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</si>
  <si>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</si>
  <si>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</si>
  <si>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</si>
  <si>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</si>
  <si>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</si>
  <si>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</si>
  <si>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</si>
  <si>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</si>
  <si>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</si>
  <si>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</si>
  <si>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</si>
  <si>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</si>
  <si>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</si>
  <si>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</si>
  <si>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</si>
  <si>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</si>
  <si>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</si>
  <si>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</si>
  <si>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</si>
  <si>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</si>
  <si>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</si>
  <si>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</si>
  <si>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</si>
  <si>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</si>
  <si>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</si>
  <si>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</si>
  <si>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</si>
  <si>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</si>
  <si>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</si>
  <si>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</si>
  <si>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</si>
  <si>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</si>
  <si>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</si>
  <si>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</si>
  <si>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</si>
  <si>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</si>
  <si>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</si>
  <si>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</si>
  <si>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</si>
  <si>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</si>
  <si>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</si>
  <si>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</si>
  <si>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</si>
  <si>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</si>
  <si>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</si>
  <si>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</si>
  <si>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</si>
  <si>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</si>
  <si>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</si>
  <si>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</si>
  <si>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</si>
  <si>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</si>
  <si>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</si>
  <si>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</si>
  <si>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</si>
  <si>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</si>
  <si>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</si>
  <si>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</si>
  <si>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</si>
  <si>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</si>
  <si>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</si>
  <si>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</si>
  <si>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</si>
  <si>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</si>
  <si>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</si>
  <si>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</si>
  <si>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</si>
  <si>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</si>
  <si>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</si>
  <si>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</si>
  <si>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</si>
  <si>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</si>
  <si>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</si>
  <si>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</si>
  <si>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</si>
  <si>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</si>
  <si>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</si>
  <si>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</si>
  <si>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</si>
  <si>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</si>
  <si>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</si>
  <si>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</si>
  <si>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</si>
  <si>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</si>
  <si>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</si>
  <si>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</si>
  <si>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</si>
  <si>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</si>
  <si>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</si>
  <si>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</si>
  <si>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</si>
  <si>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</si>
  <si>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</si>
  <si>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</si>
  <si>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</si>
  <si>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</si>
  <si>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</si>
  <si>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</si>
  <si>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</si>
  <si>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</si>
  <si>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</si>
  <si>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</si>
  <si>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</si>
  <si>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</si>
  <si>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</si>
  <si>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</si>
  <si>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</si>
  <si>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</si>
  <si>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</si>
  <si>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</si>
  <si>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</si>
  <si>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</si>
  <si>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</si>
  <si>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</si>
  <si>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</si>
  <si>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</si>
  <si>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</si>
  <si>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</si>
  <si>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</si>
  <si>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</si>
  <si>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</si>
  <si>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</si>
  <si>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</si>
  <si>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</si>
  <si>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</si>
  <si>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</si>
  <si>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</si>
  <si>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</si>
  <si>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</si>
  <si>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</si>
  <si>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</si>
  <si>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</si>
  <si>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</si>
  <si>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</si>
  <si>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</si>
  <si>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</si>
  <si>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</si>
  <si>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</si>
  <si>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</si>
  <si>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</si>
  <si>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</si>
  <si>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</si>
  <si>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</si>
  <si>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</si>
  <si>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</si>
  <si>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</si>
  <si>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</si>
  <si>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</si>
  <si>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</si>
  <si>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</si>
  <si>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</si>
  <si>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</si>
  <si>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</si>
  <si>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</si>
  <si>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</si>
  <si>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</si>
  <si>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</si>
  <si>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</si>
  <si>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</si>
  <si>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</si>
  <si>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</si>
  <si>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</si>
  <si>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</si>
  <si>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</si>
  <si>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</si>
  <si>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</si>
  <si>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</si>
  <si>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</si>
  <si>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</si>
  <si>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</si>
  <si>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</si>
  <si>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</si>
  <si>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</si>
  <si>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</si>
  <si>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</si>
  <si>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</si>
  <si>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</si>
  <si>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</si>
  <si>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</si>
  <si>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</si>
  <si>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</si>
  <si>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</si>
  <si>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</si>
  <si>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</si>
  <si>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</si>
  <si>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</si>
  <si>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</si>
  <si>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</si>
  <si>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</si>
  <si>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</si>
  <si>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</si>
  <si>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</si>
  <si>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</si>
  <si>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</si>
  <si>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</si>
  <si>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</si>
  <si>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</si>
  <si>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</si>
  <si>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</si>
  <si>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</si>
  <si>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</si>
  <si>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</si>
  <si>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</si>
  <si>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</si>
  <si>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</si>
  <si>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</si>
  <si>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</si>
  <si>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</si>
  <si>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</si>
  <si>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</si>
  <si>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</si>
  <si>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</si>
  <si>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</si>
  <si>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</si>
  <si>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</si>
  <si>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</si>
  <si>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</si>
  <si>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</si>
  <si>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</si>
  <si>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</si>
  <si>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</si>
  <si>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</si>
  <si>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</si>
  <si>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</si>
  <si>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</si>
  <si>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</si>
  <si>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</si>
  <si>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</si>
  <si>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</si>
  <si>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</si>
  <si>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</si>
  <si>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</si>
  <si>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</si>
  <si>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</si>
  <si>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</si>
  <si>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</si>
  <si>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</si>
  <si>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</si>
  <si>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</si>
  <si>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</si>
  <si>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</si>
  <si>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</si>
  <si>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</si>
  <si>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</si>
  <si>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</si>
  <si>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</si>
  <si>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</si>
  <si>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</si>
  <si>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</si>
  <si>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</si>
  <si>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</si>
  <si>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</si>
  <si>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</si>
  <si>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</si>
  <si>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</si>
  <si>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</si>
  <si>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</si>
  <si>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</si>
  <si>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</si>
  <si>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</si>
  <si>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</si>
  <si>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</si>
  <si>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</si>
  <si>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</si>
  <si>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</si>
  <si>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</si>
  <si>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</si>
  <si>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</si>
  <si>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</si>
  <si>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</si>
  <si>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</si>
  <si>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</si>
  <si>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</si>
  <si>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</si>
  <si>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</si>
  <si>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</si>
  <si>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</si>
  <si>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</si>
  <si>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</si>
  <si>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</si>
  <si>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</si>
  <si>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</si>
  <si>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</si>
  <si>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</si>
  <si>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</si>
  <si>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</si>
  <si>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</si>
  <si>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</si>
  <si>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</si>
  <si>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</si>
  <si>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</si>
  <si>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</si>
  <si>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</si>
  <si>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</si>
  <si>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</si>
  <si>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</si>
  <si>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</si>
  <si>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</si>
  <si>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</si>
  <si>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</si>
  <si>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</si>
  <si>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</si>
  <si>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</si>
  <si>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</si>
  <si>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</si>
  <si>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</si>
  <si>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</si>
  <si>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</si>
  <si>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</si>
  <si>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</si>
  <si>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</si>
  <si>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</si>
  <si>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</si>
  <si>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</si>
  <si>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</si>
  <si>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</si>
  <si>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</si>
  <si>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</si>
  <si>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</si>
  <si>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</si>
  <si>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</si>
  <si>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</si>
  <si>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</si>
  <si>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</si>
  <si>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</si>
  <si>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</si>
  <si>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</si>
  <si>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</si>
  <si>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</si>
  <si>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</si>
  <si>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</si>
  <si>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</si>
  <si>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</si>
  <si>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</si>
  <si>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</si>
  <si>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</si>
  <si>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</si>
  <si>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</si>
  <si>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</si>
  <si>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</si>
  <si>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</si>
  <si>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</si>
  <si>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</si>
  <si>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</si>
  <si>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</si>
  <si>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</si>
  <si>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</si>
  <si>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</si>
  <si>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</si>
  <si>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</si>
  <si>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</si>
  <si>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</si>
  <si>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</si>
  <si>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</si>
  <si>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</si>
  <si>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</si>
  <si>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</si>
  <si>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</si>
  <si>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</si>
  <si>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</si>
  <si>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</si>
  <si>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</si>
  <si>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</si>
  <si>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</si>
  <si>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</si>
  <si>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</si>
  <si>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</si>
  <si>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</si>
  <si>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</si>
  <si>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</si>
  <si>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</si>
  <si>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</si>
  <si>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</si>
  <si>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</si>
  <si>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</si>
  <si>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</si>
  <si>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</si>
  <si>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</si>
  <si>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</si>
  <si>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</si>
  <si>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</si>
  <si>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</si>
  <si>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</si>
  <si>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</si>
  <si>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</si>
  <si>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</si>
  <si>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</si>
  <si>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</si>
  <si>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</si>
  <si>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</si>
  <si>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</si>
  <si>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</si>
  <si>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</si>
  <si>
    <t>MONZON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</si>
</sst>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5ab14LTgVY2HRKHFGUeWRFzkags0MIRIUEmMcLV1zo6EvBMp5MCkiHm50LEH7GOgxU87tCMoEWwbKC/3qpWEA==" saltValue="eYDy/TlaJpXZqaZi4+41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MONZON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26</v>
      </c>
      <c r="F10" s="404">
        <f>IF(ISNUMBER(E10/B10),E10/B10," - ")</f>
        <v>26</v>
      </c>
      <c r="G10" s="403">
        <f>IF(ISNUMBER(Datos!K10),Datos!K10," - ")</f>
        <v>17</v>
      </c>
      <c r="H10" s="404">
        <f>IF(ISNUMBER(G10/B10),G10/B10," - ")</f>
        <v>17</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809</v>
      </c>
      <c r="D12" s="404">
        <f>IF(ISNUMBER(C12/Datos!BH12),C12/Datos!BH12," - ")</f>
        <v>404.5</v>
      </c>
      <c r="E12" s="403">
        <f>IF(ISNUMBER(IF(J_V="SI",Datos!J12,Datos!J12+Datos!Z12)),IF(J_V="SI",Datos!J12,Datos!J12+Datos!Z12)," - ")</f>
        <v>2222</v>
      </c>
      <c r="F12" s="404">
        <f>IF(ISNUMBER(E12/B12),E12/B12," - ")</f>
        <v>1111</v>
      </c>
      <c r="G12" s="403">
        <f>IF(ISNUMBER(IF(J_V="SI",Datos!K12,Datos!K12+Datos!AA12)),IF(J_V="SI",Datos!K12,Datos!K12+Datos!AA12)," - ")</f>
        <v>1958</v>
      </c>
      <c r="H12" s="404">
        <f>IF(ISNUMBER(G12/B12),G12/B12," - ")</f>
        <v>979</v>
      </c>
      <c r="I12" s="403">
        <f>IF(ISNUMBER(IF(J_V="SI",Datos!L12,Datos!L12+Datos!AB12)),IF(J_V="SI",Datos!L12,Datos!L12+Datos!AB12)," - ")</f>
        <v>1073</v>
      </c>
      <c r="J12" s="404">
        <f>IF(ISNUMBER(I12/B12),I12/B12," - ")</f>
        <v>536.5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817</v>
      </c>
      <c r="D13" s="850" t="str">
        <f>IF(ISNUMBER(C13/Datos!BI13),C13/Datos!BI13," - ")</f>
        <v xml:space="preserve"> - </v>
      </c>
      <c r="E13" s="849">
        <f>SUBTOTAL(9,E8:E12)</f>
        <v>2248</v>
      </c>
      <c r="F13" s="850">
        <f>IF(ISNUMBER(E13/B13),E13/B13," - ")</f>
        <v>1124</v>
      </c>
      <c r="G13" s="849">
        <f>SUBTOTAL(9,G8:G12)</f>
        <v>1975</v>
      </c>
      <c r="H13" s="850">
        <f>IF(ISNUMBER(G13/B13),G13/B13," - ")</f>
        <v>987.5</v>
      </c>
      <c r="I13" s="849">
        <f>SUBTOTAL(9,I8:I12)</f>
        <v>1090</v>
      </c>
      <c r="J13" s="850">
        <f>IF(ISNUMBER(I13/B13),I13/B13," - ")</f>
        <v>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517</v>
      </c>
      <c r="D16" s="404">
        <f>IF(ISNUMBER(C16/Datos!BH16),C16/Datos!BH16," - ")</f>
        <v>258.5</v>
      </c>
      <c r="E16" s="403">
        <f>IF(ISNUMBER(IF(D_I="SI",Datos!J16,Datos!J16+Datos!AD16)),IF(D_I="SI",Datos!J16,Datos!J16+Datos!AD16)," - ")</f>
        <v>1742</v>
      </c>
      <c r="F16" s="404">
        <f>IF(ISNUMBER(E16/B16),E16/B16," - ")</f>
        <v>871</v>
      </c>
      <c r="G16" s="403">
        <f>IF(ISNUMBER(IF(D_I="SI",Datos!K16,Datos!K16+Datos!AE16)),IF(D_I="SI",Datos!K16,Datos!K16+Datos!AE16)," - ")</f>
        <v>1702</v>
      </c>
      <c r="H16" s="404">
        <f>IF(ISNUMBER(G16/B16),G16/B16," - ")</f>
        <v>851</v>
      </c>
      <c r="I16" s="403">
        <f>IF(ISNUMBER(IF(D_I="SI",Datos!L16,Datos!L16+Datos!AF16)),IF(D_I="SI",Datos!L16,Datos!L16+Datos!AF16)," - ")</f>
        <v>557</v>
      </c>
      <c r="J16" s="404">
        <f>IF(ISNUMBER(I16/B16),I16/B16," - ")</f>
        <v>278.5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210</v>
      </c>
      <c r="F17" s="404">
        <f>IF(ISNUMBER(E17/B17),E17/B17," - ")</f>
        <v>210</v>
      </c>
      <c r="G17" s="403">
        <f>IF(ISNUMBER(IF(D_I="SI",Datos!K17,Datos!K17+Datos!AE17)),IF(D_I="SI",Datos!K17,Datos!K17+Datos!AE17)," - ")</f>
        <v>210</v>
      </c>
      <c r="H17" s="404">
        <f>IF(ISNUMBER(G17/B17),G17/B17," - ")</f>
        <v>210</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567</v>
      </c>
      <c r="D18" s="850" t="str">
        <f>IF(ISNUMBER(C18/Datos!BI18),C18/Datos!BI18," - ")</f>
        <v xml:space="preserve"> - </v>
      </c>
      <c r="E18" s="849">
        <f>SUBTOTAL(9,E14:E17)</f>
        <v>1952</v>
      </c>
      <c r="F18" s="850">
        <f>IF(ISNUMBER(E18/B18),E18/B18," - ")</f>
        <v>976</v>
      </c>
      <c r="G18" s="849">
        <f>SUBTOTAL(9,G14:G17)</f>
        <v>1912</v>
      </c>
      <c r="H18" s="850">
        <f>IF(ISNUMBER(G18/B18),G18/B18," - ")</f>
        <v>956</v>
      </c>
      <c r="I18" s="849">
        <f>SUBTOTAL(9,I14:I17)</f>
        <v>607</v>
      </c>
      <c r="J18" s="850">
        <f>IF(ISNUMBER(I18/B18),I18/B18," - ")</f>
        <v>303.5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1384</v>
      </c>
      <c r="D19" s="795" t="str">
        <f>IF(ISNUMBER(C19/Datos!BI19),C19/Datos!BI19," - ")</f>
        <v xml:space="preserve"> - </v>
      </c>
      <c r="E19" s="794">
        <f>SUBTOTAL(9,E9:E18)</f>
        <v>4200</v>
      </c>
      <c r="F19" s="795">
        <f>IF(ISNUMBER(E19/B19),E19/B19," - ")</f>
        <v>2100</v>
      </c>
      <c r="G19" s="794">
        <f>SUBTOTAL(9,G9:G18)</f>
        <v>3887</v>
      </c>
      <c r="H19" s="795">
        <f>IF(ISNUMBER(G19/B19),G19/B19," - ")</f>
        <v>1943.5</v>
      </c>
      <c r="I19" s="794">
        <f>SUBTOTAL(9,I9:I18)</f>
        <v>1697</v>
      </c>
      <c r="J19" s="795">
        <f>IF(ISNUMBER(I19/B19),I19/B19," - ")</f>
        <v>848.5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aFksLS/IqgSp3D+ECfnWywKWQsdJZ47X7nVv0QGKn8cR/mpHVzidAIDRgTtyA3BiCG6q4jpYNT3KWObpREBSw==" saltValue="0Z4uEnhsr0X7E0kFRC1U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MONZON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8JiFFPcLh5Bj6X8cOhafwYJ6DhBjtr7RTkvncEkdQg91jBi9d2s3X95wKFD81cMcGL/7VQ8GvfXIzpVHwA0UbA==" saltValue="dFah9Z/KQfXvCxuBI26f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MONZON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421</v>
      </c>
      <c r="E12" s="404">
        <f t="shared" si="0"/>
        <v>210.5</v>
      </c>
      <c r="F12" s="403">
        <f>IF(ISNUMBER(Datos!N12),Datos!N12," - ")</f>
        <v>859</v>
      </c>
      <c r="G12" s="404">
        <f t="shared" si="1"/>
        <v>429.5</v>
      </c>
      <c r="H12" s="403">
        <f>IF(ISNUMBER(Datos!O12),Datos!O12," - ")</f>
        <v>849</v>
      </c>
      <c r="I12" s="404">
        <f t="shared" si="2"/>
        <v>424.5</v>
      </c>
      <c r="BZ12" s="1186">
        <f>Datos!EZ12</f>
        <v>0</v>
      </c>
    </row>
    <row r="13" spans="1:78" ht="14.25" thickTop="1" thickBot="1">
      <c r="A13" s="848" t="str">
        <f>Datos!A13</f>
        <v>TOTAL</v>
      </c>
      <c r="B13" s="849">
        <f>Datos!AP13</f>
        <v>2</v>
      </c>
      <c r="C13" s="851">
        <f>Datos!AR13</f>
        <v>2</v>
      </c>
      <c r="D13" s="849">
        <f>SUBTOTAL(9,D9:D12)</f>
        <v>433</v>
      </c>
      <c r="E13" s="850">
        <f t="shared" si="0"/>
        <v>216.5</v>
      </c>
      <c r="F13" s="849">
        <f>SUBTOTAL(9,F9:F12)</f>
        <v>861</v>
      </c>
      <c r="G13" s="850">
        <f t="shared" si="1"/>
        <v>430.5</v>
      </c>
      <c r="H13" s="849">
        <f>SUBTOTAL(9,H9:H12)</f>
        <v>849</v>
      </c>
      <c r="I13" s="850">
        <f>IF(ISNUMBER(H13/B13),H13/B13," - ")</f>
        <v>424.5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206</v>
      </c>
      <c r="E16" s="404">
        <f t="shared" si="3"/>
        <v>103</v>
      </c>
      <c r="F16" s="403">
        <f>IF(ISNUMBER(Datos!N16),Datos!N16," - ")</f>
        <v>1019</v>
      </c>
      <c r="G16" s="404">
        <f t="shared" si="4"/>
        <v>509.5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49</v>
      </c>
      <c r="E17" s="404">
        <f>IF(ISNUMBER(D17/B17),D17/B17," - ")</f>
        <v>49</v>
      </c>
      <c r="F17" s="403">
        <f>IF(ISNUMBER(Datos!N17),Datos!N17," - ")</f>
        <v>86</v>
      </c>
      <c r="G17" s="404">
        <f>IF(ISNUMBER(F17/B17),F17/B17," - ")</f>
        <v>86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255</v>
      </c>
      <c r="E18" s="850">
        <f t="shared" si="3"/>
        <v>127.5</v>
      </c>
      <c r="F18" s="849">
        <f>SUBTOTAL(9,F15:F17)</f>
        <v>1105</v>
      </c>
      <c r="G18" s="850">
        <f t="shared" si="4"/>
        <v>552.5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688</v>
      </c>
      <c r="E19" s="795">
        <f>IF(ISNUMBER(D19/B19),D19/B19," - ")</f>
        <v>344</v>
      </c>
      <c r="F19" s="794">
        <f>SUBTOTAL(9,F8:F18)</f>
        <v>1966</v>
      </c>
      <c r="G19" s="795">
        <f>IF(ISNUMBER(F19/B19),F19/B19," - ")</f>
        <v>983</v>
      </c>
      <c r="H19" s="794">
        <f>SUBTOTAL(9,H8:H18)</f>
        <v>856</v>
      </c>
      <c r="I19" s="795">
        <f>IF(ISNUMBER(H19/B19),H19/B19," - ")</f>
        <v>428</v>
      </c>
    </row>
    <row r="22" spans="1:78">
      <c r="A22" s="391" t="str">
        <f>Criterios!A4</f>
        <v>Fecha Informe: 28 feb. 2025</v>
      </c>
    </row>
    <row r="27" spans="1:78">
      <c r="A27" s="414"/>
    </row>
  </sheetData>
  <sheetProtection algorithmName="SHA-512" hashValue="iMLP/Qta8e21QEk2UdoOKFLFSM9Vgar9Fr0e5OqabYD/K8u+a8HUre2E+zIgb8ZiqH6OdQE4+uFAw0WE7lqtpw==" saltValue="xli/RscNVknbWMxtgpxs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MONZON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478</v>
      </c>
      <c r="C12" s="434">
        <f>IF(ISNUMBER(Datos!Q12),Datos!Q12," - ")</f>
        <v>327</v>
      </c>
      <c r="D12" s="408">
        <f>IF(ISNUMBER(Datos!R12),Datos!R12," - ")</f>
        <v>1528</v>
      </c>
    </row>
    <row r="13" spans="1:4" ht="14.25" thickTop="1" thickBot="1">
      <c r="A13" s="848" t="str">
        <f>Datos!A13</f>
        <v>TOTAL</v>
      </c>
      <c r="B13" s="849">
        <f>SUBTOTAL(9,B9:B12)</f>
        <v>480</v>
      </c>
      <c r="C13" s="853">
        <f>SUBTOTAL(9,C9:C12)</f>
        <v>328</v>
      </c>
      <c r="D13" s="851">
        <f>SUBTOTAL(9,D9:D12)</f>
        <v>1533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31</v>
      </c>
      <c r="D16" s="408">
        <f>IF(ISNUMBER(Datos!R16),Datos!R16," - ")</f>
        <v>38</v>
      </c>
    </row>
    <row r="17" spans="1:4" ht="13.5" thickBot="1">
      <c r="A17" s="402" t="str">
        <f>Datos!A17</f>
        <v>Jdos. Violencia contra la mujer</v>
      </c>
      <c r="B17" s="433">
        <f>IF(ISNUMBER(Datos!P17),Datos!P17," - ")</f>
        <v>3</v>
      </c>
      <c r="C17" s="434">
        <f>IF(ISNUMBER(Datos!Q17),Datos!Q17," - ")</f>
        <v>3</v>
      </c>
      <c r="D17" s="408">
        <f>IF(ISNUMBER(Datos!R17),Datos!R17," - ")</f>
        <v>2</v>
      </c>
    </row>
    <row r="18" spans="1:4" ht="14.25" thickTop="1" thickBot="1">
      <c r="A18" s="848" t="str">
        <f>Datos!A18</f>
        <v>TOTAL</v>
      </c>
      <c r="B18" s="849">
        <f>SUBTOTAL(9,B15:B17)</f>
        <v>32</v>
      </c>
      <c r="C18" s="853">
        <f>SUBTOTAL(9,C15:C17)</f>
        <v>34</v>
      </c>
      <c r="D18" s="851">
        <f>SUBTOTAL(9,D15:D17)</f>
        <v>40</v>
      </c>
    </row>
    <row r="19" spans="1:4" ht="16.5" customHeight="1" thickTop="1" thickBot="1">
      <c r="A19" s="793" t="str">
        <f>Datos!A19</f>
        <v>TOTAL JURISDICCIONES</v>
      </c>
      <c r="B19" s="798">
        <f>SUBTOTAL(9,B8:B18)</f>
        <v>512</v>
      </c>
      <c r="C19" s="799">
        <f>SUBTOTAL(9,C8:C18)</f>
        <v>362</v>
      </c>
      <c r="D19" s="800">
        <f>SUBTOTAL(9,D8:D18)</f>
        <v>1573</v>
      </c>
    </row>
    <row r="20" spans="1:4" ht="7.5" customHeight="1"/>
    <row r="21" spans="1:4" ht="6" customHeight="1"/>
    <row r="22" spans="1:4">
      <c r="A22" s="391" t="str">
        <f>Criterios!A4</f>
        <v>Fecha Informe: 28 feb. 2025</v>
      </c>
    </row>
    <row r="27" spans="1:4">
      <c r="A27" s="414"/>
    </row>
  </sheetData>
  <sheetProtection algorithmName="SHA-512" hashValue="gPiXsx2y4Y1d1inSRAiHQov7SHpZoq7/T7Jq5BPIMqmKMJCwV7/xeOWFICy69c8fhM5guaBCh8d48/7ARKQsgQ==" saltValue="OiibEsyEfXqAxQA4wBNC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MONZON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0.625</v>
      </c>
      <c r="D10" s="456">
        <f>IF(ISNUMBER((Datos!K10-Datos!U10)/Datos!U10),(Datos!K10-Datos!U10)/Datos!U10," - ")</f>
        <v>0.30769230769230771</v>
      </c>
      <c r="E10" s="456">
        <f>IF(ISNUMBER((Datos!L10-Datos!V10)/Datos!V10),(Datos!L10-Datos!V10)/Datos!V10," - ")</f>
        <v>1.125</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-0.19526627218934911</v>
      </c>
      <c r="I10" s="456">
        <f>IF(ISNUMBER(((NºAsuntos!I10/NºAsuntos!G10)-Datos!BE10)/Datos!BE10),((NºAsuntos!I10/NºAsuntos!G10)-Datos!BE10)/Datos!BE10," - ")</f>
        <v>0.62499999999999989</v>
      </c>
      <c r="J10" s="461">
        <f>IF(ISNUMBER((('Resol  Asuntos'!D10/NºAsuntos!G10)-Datos!BF10)/Datos!BF10),(('Resol  Asuntos'!D10/NºAsuntos!G10)-Datos!BF10)/Datos!BF10," - ")</f>
        <v>2.0588235294117649</v>
      </c>
      <c r="K10" s="462">
        <f>IF(ISNUMBER((((NºAsuntos!C10+NºAsuntos!E10)/NºAsuntos!G10)-Datos!BG10)/Datos!BG10),(((NºAsuntos!C10+NºAsuntos!E10)/NºAsuntos!G10)-Datos!BG10)/Datos!BG10," - ")</f>
        <v>0.23809523809523808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0.35058430717863104</v>
      </c>
      <c r="C12" s="456">
        <f>IF(ISNUMBER(
   IF(J_V="SI",(Datos!J12-Datos!T12)/Datos!T12,(Datos!J12+Datos!Z12-(Datos!T12+Datos!AH12))/(Datos!T12+Datos!AH12))
     ),IF(J_V="SI",(Datos!J12-Datos!T12)/Datos!T12,(Datos!J12+Datos!Z12-(Datos!T12+Datos!AH12))/(Datos!T12+Datos!AH12))," - ")</f>
        <v>0.111</v>
      </c>
      <c r="D12" s="456">
        <f>IF(ISNUMBER(
   IF(J_V="SI",(Datos!K12-Datos!U12)/Datos!U12,(Datos!K12+Datos!AA12-(Datos!U12+Datos!AI12))/(Datos!U12+Datos!AI12))
     ),IF(J_V="SI",(Datos!K12-Datos!U12)/Datos!U12,(Datos!K12+Datos!AA12-(Datos!U12+Datos!AI12))/(Datos!U12+Datos!AI12))," - ")</f>
        <v>0.11821816105082809</v>
      </c>
      <c r="E12" s="456">
        <f>IF(ISNUMBER(
   IF(J_V="SI",(Datos!L12-Datos!V12)/Datos!V12,(Datos!L12+Datos!AB12-(Datos!V12+Datos!AJ12))/(Datos!V12+Datos!AJ12))
     ),IF(J_V="SI",(Datos!L12-Datos!V12)/Datos!V12,(Datos!L12+Datos!AB12-(Datos!V12+Datos!AJ12))/(Datos!V12+Datos!AJ12))," - ")</f>
        <v>0.32632880098887518</v>
      </c>
      <c r="F12" s="456">
        <f>IF(ISNUMBER((Datos!M12-Datos!W12)/Datos!W12),(Datos!M12-Datos!W12)/Datos!W12," - ")</f>
        <v>0.11081794195250659</v>
      </c>
      <c r="G12" s="457">
        <f>IF(ISNUMBER((Datos!N12-Datos!X12)/Datos!X12),(Datos!N12-Datos!X12)/Datos!X12," - ")</f>
        <v>0.14380825565912117</v>
      </c>
      <c r="H12" s="455">
        <f>IF(ISNUMBER(((NºAsuntos!G12/NºAsuntos!E12)-Datos!BD12)/Datos!BD12),((NºAsuntos!G12/NºAsuntos!E12)-Datos!BD12)/Datos!BD12," - ")</f>
        <v>6.4969946452098793E-3</v>
      </c>
      <c r="I12" s="456">
        <f>IF(ISNUMBER(((NºAsuntos!I12/NºAsuntos!G12)-Datos!BE12)/Datos!BE12),((NºAsuntos!I12/NºAsuntos!G12)-Datos!BE12)/Datos!BE12," - ")</f>
        <v>0.18610915757483157</v>
      </c>
      <c r="J12" s="461">
        <f>IF(ISNUMBER((('Resol  Asuntos'!D12/NºAsuntos!G12)-Datos!BF12)/Datos!BF12),(('Resol  Asuntos'!D12/NºAsuntos!G12)-Datos!BF12)/Datos!BF12," - ")</f>
        <v>-0.4986793230408485</v>
      </c>
      <c r="K12" s="462">
        <f>IF(ISNUMBER((((NºAsuntos!C12+NºAsuntos!E12)/NºAsuntos!G12)-Datos!BG12)/Datos!BG12),(((NºAsuntos!C12+NºAsuntos!E12)/NºAsuntos!G12)-Datos!BG12)/Datos!BG12," - ")</f>
        <v>4.2925089833797274E-2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0.35264900662251658</v>
      </c>
      <c r="C13" s="855">
        <f>IF(ISNUMBER(
   IF(J_V="SI",(Datos!J13-Datos!T13)/Datos!T13,(Datos!J13+Datos!Z13-(Datos!T13+Datos!AH13))/(Datos!T13+Datos!AH13))
     ),IF(J_V="SI",(Datos!J13-Datos!T13)/Datos!T13,(Datos!J13+Datos!Z13-(Datos!T13+Datos!AH13))/(Datos!T13+Datos!AH13))," - ")</f>
        <v>0.11507936507936507</v>
      </c>
      <c r="D13" s="855">
        <f>IF(ISNUMBER(
   IF(J_V="SI",(Datos!K13-Datos!U13)/Datos!U13,(Datos!K13+Datos!AA13-(Datos!U13+Datos!AI13))/(Datos!U13+Datos!AI13))
     ),IF(J_V="SI",(Datos!K13-Datos!U13)/Datos!U13,(Datos!K13+Datos!AA13-(Datos!U13+Datos!AI13))/(Datos!U13+Datos!AI13))," - ")</f>
        <v>0.11961451247165533</v>
      </c>
      <c r="E13" s="855">
        <f>IF(ISNUMBER(
   IF(J_V="SI",(Datos!L13-Datos!V13)/Datos!V13,(Datos!L13+Datos!AB13-(Datos!V13+Datos!AJ13))/(Datos!V13+Datos!AJ13))
     ),IF(J_V="SI",(Datos!L13-Datos!V13)/Datos!V13,(Datos!L13+Datos!AB13-(Datos!V13+Datos!AJ13))/(Datos!V13+Datos!AJ13))," - ")</f>
        <v>0.33414932680538556</v>
      </c>
      <c r="F13" s="856">
        <f>IF(ISNUMBER((Datos!M13-Datos!W13)/Datos!W13),(Datos!M13-Datos!W13)/Datos!W13," - ")</f>
        <v>0.13350785340314136</v>
      </c>
      <c r="G13" s="857">
        <f>IF(ISNUMBER((Datos!N13-Datos!X13)/Datos!X13),(Datos!N13-Datos!X13)/Datos!X13," - ")</f>
        <v>0.14647137150466044</v>
      </c>
      <c r="H13" s="857">
        <f>IF(ISNUMBER(((NºAsuntos!G13/NºAsuntos!E13)-Datos!BD13)/Datos!BD13),((NºAsuntos!G13/NºAsuntos!E13)-Datos!BD13)/Datos!BD13," - ")</f>
        <v>4.0671072699542321E-3</v>
      </c>
      <c r="I13" s="857">
        <f>IF(ISNUMBER(((NºAsuntos!I13/NºAsuntos!G13)-Datos!BE13)/Datos!BE13),((NºAsuntos!I13/NºAsuntos!G13)-Datos!BE13)/Datos!BE13," - ")</f>
        <v>0.19161489239731663</v>
      </c>
      <c r="J13" s="857">
        <f>IF(ISNUMBER((('Resol  Asuntos'!D13/NºAsuntos!G13)-Datos!BF13)/Datos!BF13),(('Resol  Asuntos'!D13/NºAsuntos!G13)-Datos!BF13)/Datos!BF13," - ")</f>
        <v>-0.48708189235469901</v>
      </c>
      <c r="K13" s="857">
        <f>IF(ISNUMBER((((NºAsuntos!C13+NºAsuntos!E13)/NºAsuntos!G13)-Datos!BG13)/Datos!BG13),(((NºAsuntos!C13+NºAsuntos!E13)/NºAsuntos!G13)-Datos!BG13)/Datos!BG13," - ")</f>
        <v>4.4866170644506737E-2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0.53412462908011871</v>
      </c>
      <c r="C16" s="456">
        <f>IF(ISNUMBER(
   IF(D_I="SI",(Datos!J16-Datos!T16)/Datos!T16,(Datos!J16+Datos!AD16-(Datos!T16+Datos!AL16))/(Datos!T16+Datos!AL16))
     ),IF(D_I="SI",(Datos!J16-Datos!T16)/Datos!T16,(Datos!J16+Datos!AD16-(Datos!T16+Datos!AL16))/(Datos!T16+Datos!AL16))," - ")</f>
        <v>-3.3832501386577923E-2</v>
      </c>
      <c r="D16" s="456">
        <f>IF(ISNUMBER(
   IF(D_I="SI",(Datos!K16-Datos!U16)/Datos!U16,(Datos!K16+Datos!AE16-(Datos!U16+Datos!AM16))/(Datos!U16+Datos!AM16))
     ),IF(D_I="SI",(Datos!K16-Datos!U16)/Datos!U16,(Datos!K16+Datos!AE16-(Datos!U16+Datos!AM16))/(Datos!U16+Datos!AM16))," - ")</f>
        <v>3.5279805352798052E-2</v>
      </c>
      <c r="E16" s="456">
        <f>IF(ISNUMBER(
   IF(D_I="SI",(Datos!L16-Datos!V16)/Datos!V16,(Datos!L16+Datos!AF16-(Datos!V16+Datos!AN16))/(Datos!V16+Datos!AN16))
     ),IF(D_I="SI",(Datos!L16-Datos!V16)/Datos!V16,(Datos!L16+Datos!AF16-(Datos!V16+Datos!AN16))/(Datos!V16+Datos!AN16))," - ")</f>
        <v>7.7369439071566737E-2</v>
      </c>
      <c r="F16" s="456">
        <f>IF(ISNUMBER((Datos!M16-Datos!W16)/Datos!W16),(Datos!M16-Datos!W16)/Datos!W16," - ")</f>
        <v>7.8534031413612565E-2</v>
      </c>
      <c r="G16" s="457">
        <f>IF(ISNUMBER((Datos!N16-Datos!X16)/Datos!X16),(Datos!N16-Datos!X16)/Datos!X16," - ")</f>
        <v>4.2988741044012284E-2</v>
      </c>
      <c r="H16" s="455">
        <f>IF(ISNUMBER(((NºAsuntos!G16/NºAsuntos!E16)-Datos!BD16)/Datos!BD16),((NºAsuntos!G16/NºAsuntos!E16)-Datos!BD16)/Datos!BD16," - ")</f>
        <v>7.1532427698676793E-2</v>
      </c>
      <c r="I16" s="456">
        <f>IF(ISNUMBER(((NºAsuntos!I16/NºAsuntos!G16)-Datos!BE16)/Datos!BE16),((NºAsuntos!I16/NºAsuntos!G16)-Datos!BE16)/Datos!BE16," - ")</f>
        <v>4.0655321876413582E-2</v>
      </c>
      <c r="J16" s="461">
        <f>IF(ISNUMBER((('Resol  Asuntos'!D16/NºAsuntos!G16)-Datos!BF16)/Datos!BF16),(('Resol  Asuntos'!D16/NºAsuntos!G16)-Datos!BF16)/Datos!BF16," - ")</f>
        <v>4.1780227757919584E-2</v>
      </c>
      <c r="K16" s="462">
        <f>IF(ISNUMBER((((NºAsuntos!C16+NºAsuntos!E16)/NºAsuntos!G16)-Datos!BG16)/Datos!BG16),(((NºAsuntos!C16+NºAsuntos!E16)/NºAsuntos!G16)-Datos!BG16)/Datos!BG16," - ")</f>
        <v>1.9634953929955869E-2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0.85185185185185186</v>
      </c>
      <c r="C17" s="456">
        <f>IF(ISNUMBER(
   IF(D_I="SI",(Datos!J17-Datos!T17)/Datos!T17,(Datos!J17+Datos!AD17-(Datos!T17+Datos!AL17))/(Datos!T17+Datos!AL17))
     ),IF(D_I="SI",(Datos!J17-Datos!T17)/Datos!T17,(Datos!J17+Datos!AD17-(Datos!T17+Datos!AL17))/(Datos!T17+Datos!AL17))," - ")</f>
        <v>-4.9773755656108594E-2</v>
      </c>
      <c r="D17" s="456">
        <f>IF(ISNUMBER(
   IF(D_I="SI",(Datos!K17-Datos!U17)/Datos!U17,(Datos!K17+Datos!AE17-(Datos!U17+Datos!AM17))/(Datos!U17+Datos!AM17))
     ),IF(D_I="SI",(Datos!K17-Datos!U17)/Datos!U17,(Datos!K17+Datos!AE17-(Datos!U17+Datos!AM17))/(Datos!U17+Datos!AM17))," - ")</f>
        <v>6.0606060606060608E-2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-0.40243902439024393</v>
      </c>
      <c r="G17" s="457">
        <f>IF(ISNUMBER((Datos!N17-Datos!X17)/Datos!X17),(Datos!N17-Datos!X17)/Datos!X17," - ")</f>
        <v>-3.3707865168539325E-2</v>
      </c>
      <c r="H17" s="455">
        <f>IF(ISNUMBER(((NºAsuntos!G17/NºAsuntos!E17)-Datos!BD17)/Datos!BD17),((NºAsuntos!G17/NºAsuntos!E17)-Datos!BD17)/Datos!BD17," - ")</f>
        <v>0.11616161616161612</v>
      </c>
      <c r="I17" s="456">
        <f>IF(ISNUMBER(((NºAsuntos!I17/NºAsuntos!G17)-Datos!BE17)/Datos!BE17),((NºAsuntos!I17/NºAsuntos!G17)-Datos!BE17)/Datos!BE17," - ")</f>
        <v>-5.7142857142857259E-2</v>
      </c>
      <c r="J17" s="461">
        <f>IF(ISNUMBER((('Resol  Asuntos'!D17/NºAsuntos!G17)-Datos!BF17)/Datos!BF17),(('Resol  Asuntos'!D17/NºAsuntos!G17)-Datos!BF17)/Datos!BF17," - ")</f>
        <v>-0.43658536585365854</v>
      </c>
      <c r="K17" s="462">
        <f>IF(ISNUMBER((((NºAsuntos!C17+NºAsuntos!E17)/NºAsuntos!G17)-Datos!BG17)/Datos!BG17),(((NºAsuntos!C17+NºAsuntos!E17)/NºAsuntos!G17)-Datos!BG17)/Datos!BG17," - ")</f>
        <v>-1.1520737327188963E-2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0.55769230769230771</v>
      </c>
      <c r="C18" s="855">
        <f>IF(ISNUMBER(
   IF(Criterios!B14="SI",(Datos!J18-Datos!T18)/Datos!T18,(Datos!J18+Datos!AD18-(Datos!T18+Datos!AL18))/(Datos!T18+Datos!AL18))
     ),IF(Criterios!B14="SI",(Datos!J18-Datos!T18)/Datos!T18,(Datos!J18+Datos!AD18-(Datos!T18+Datos!AL18))/(Datos!T18+Datos!AL18))," - ")</f>
        <v>-3.5573122529644272E-2</v>
      </c>
      <c r="D18" s="855">
        <f>IF(ISNUMBER(
   IF(Criterios!B14="SI",(Datos!K18-Datos!U18)/Datos!U18,(Datos!K18+Datos!AE18-(Datos!U18+Datos!AM18))/(Datos!U18+Datos!AM18))
     ),IF(Criterios!B14="SI",(Datos!K18-Datos!U18)/Datos!U18,(Datos!K18+Datos!AE18-(Datos!U18+Datos!AM18))/(Datos!U18+Datos!AM18))," - ")</f>
        <v>3.8002171552660155E-2</v>
      </c>
      <c r="E18" s="855">
        <f>IF(ISNUMBER(
   IF(Criterios!B14="SI",(Datos!L18-Datos!V18)/Datos!V18,(Datos!L18+Datos!AF18-(Datos!V18+Datos!AN18))/(Datos!V18+Datos!AN18))
     ),IF(Criterios!B14="SI",(Datos!L18-Datos!V18)/Datos!V18,(Datos!L18+Datos!AF18-(Datos!V18+Datos!AN18))/(Datos!V18+Datos!AN18))," - ")</f>
        <v>7.0546737213403876E-2</v>
      </c>
      <c r="F18" s="856">
        <f>IF(ISNUMBER((Datos!M18-Datos!W18)/Datos!W18),(Datos!M18-Datos!W18)/Datos!W18," - ")</f>
        <v>-6.5934065934065936E-2</v>
      </c>
      <c r="G18" s="857">
        <f>IF(ISNUMBER((Datos!N18-Datos!X18)/Datos!X18),(Datos!N18-Datos!X18)/Datos!X18," - ")</f>
        <v>3.6585365853658534E-2</v>
      </c>
      <c r="H18" s="857">
        <f>IF(ISNUMBER(((NºAsuntos!G18/NºAsuntos!E18)-Datos!BD18)/Datos!BD18),((NºAsuntos!G18/NºAsuntos!E18)-Datos!BD18)/Datos!BD18," - ")</f>
        <v>7.6289136896815726E-2</v>
      </c>
      <c r="I18" s="857">
        <f>IF(ISNUMBER(((NºAsuntos!I18/NºAsuntos!G18)-Datos!BE18)/Datos!BE18),((NºAsuntos!I18/NºAsuntos!G18)-Datos!BE18)/Datos!BE18," - ")</f>
        <v>3.1353080516260352E-2</v>
      </c>
      <c r="J18" s="857">
        <f>IF(ISNUMBER((('Resol  Asuntos'!D18/NºAsuntos!G18)-Datos!BF18)/Datos!BF18),(('Resol  Asuntos'!D18/NºAsuntos!G18)-Datos!BF18)/Datos!BF18," - ")</f>
        <v>-0.10013104050760965</v>
      </c>
      <c r="K18" s="857">
        <f>IF(ISNUMBER((((NºAsuntos!C18+NºAsuntos!E18)/NºAsuntos!G18)-Datos!BG18)/Datos!BG18),(((NºAsuntos!C18+NºAsuntos!E18)/NºAsuntos!G18)-Datos!BG18)/Datos!BG18," - ")</f>
        <v>1.6238357057252822E-2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0.42975206611570249</v>
      </c>
      <c r="C19" s="802">
        <f>IF(ISNUMBER(
   IF(J_V="SI",(Datos!J19-Datos!T19)/Datos!T19,(Datos!J19+Datos!Z19-(Datos!T19+Datos!AH19))/(Datos!T19+Datos!AH19))
     ),IF(J_V="SI",(Datos!J19-Datos!T19)/Datos!T19,(Datos!J19+Datos!Z19-(Datos!T19+Datos!AH19))/(Datos!T19+Datos!AH19))," - ")</f>
        <v>3.9603960396039604E-2</v>
      </c>
      <c r="D19" s="802">
        <f>IF(ISNUMBER(
   IF(J_V="SI",(Datos!K19-Datos!U19)/Datos!U19,(Datos!K19+Datos!AA19-(Datos!U19+Datos!AI19))/(Datos!U19+Datos!AI19))
     ),IF(J_V="SI",(Datos!K19-Datos!U19)/Datos!U19,(Datos!K19+Datos!AA19-(Datos!U19+Datos!AI19))/(Datos!U19+Datos!AI19))," - ")</f>
        <v>7.7925679423183583E-2</v>
      </c>
      <c r="E19" s="802">
        <f>IF(ISNUMBER(
   IF(J_V="SI",(Datos!L19-Datos!V19)/Datos!V19,(Datos!L19+Datos!AB19-(Datos!V19+Datos!AJ19))/(Datos!V19+Datos!AJ19))
     ),IF(J_V="SI",(Datos!L19-Datos!V19)/Datos!V19,(Datos!L19+Datos!AB19-(Datos!V19+Datos!AJ19))/(Datos!V19+Datos!AJ19))," - ")</f>
        <v>0.22615606936416185</v>
      </c>
      <c r="F19" s="803">
        <f>IF(ISNUMBER((Datos!M19-Datos!W19)/Datos!W19),(Datos!M19-Datos!W19)/Datos!W19," - ")</f>
        <v>5.0381679389312976E-2</v>
      </c>
      <c r="G19" s="804">
        <f>IF(ISNUMBER((Datos!N19-Datos!X19)/Datos!X19),(Datos!N19-Datos!X19)/Datos!X19," - ")</f>
        <v>8.200330214639516E-2</v>
      </c>
      <c r="H19" s="805">
        <f>IF(ISNUMBER((Tasas!B19-Datos!BD19)/Datos!BD19),(Tasas!B19-Datos!BD19)/Datos!BD19," - ")</f>
        <v>3.6861844016586071E-2</v>
      </c>
      <c r="I19" s="806">
        <f>IF(ISNUMBER((Tasas!C19-Datos!BE19)/Datos!BE19),(Tasas!C19-Datos!BE19)/Datos!BE19," - ")</f>
        <v>0.13751448060899607</v>
      </c>
      <c r="J19" s="807">
        <f>IF(ISNUMBER((Tasas!D19-Datos!BF19)/Datos!BF19),(Tasas!D19-Datos!BF19)/Datos!BF19," - ")</f>
        <v>-0.37851711031378416</v>
      </c>
      <c r="K19" s="807">
        <f>IF(ISNUMBER((Tasas!E19-Datos!BG19)/Datos!BG19),(Tasas!E19-Datos!BG19)/Datos!BG19," - ")</f>
        <v>3.4408953906319921E-2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R5KpsreWOkhTztv3peZWu7SHru6x1ZaXtzZlazxzh6FTwBjH80cFCmTOZLvVNVXx6d77+ECR9ydjUzIbqLoXQ==" saltValue="H2Zyv1HeD7BO651pxUHV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MONZON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0.65384615384615385</v>
      </c>
      <c r="C10" s="443">
        <f>IF(ISNUMBER(NºAsuntos!I10/NºAsuntos!G10),NºAsuntos!I10/NºAsuntos!G10," - ")</f>
        <v>1</v>
      </c>
      <c r="D10" s="444">
        <f>IF(ISNUMBER('Resol  Asuntos'!D10/NºAsuntos!G10),'Resol  Asuntos'!D10/NºAsuntos!G10," - ")</f>
        <v>0.70588235294117652</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0.88118811881188119</v>
      </c>
      <c r="C12" s="443">
        <f>IF(ISNUMBER(NºAsuntos!I12/NºAsuntos!G12),NºAsuntos!I12/NºAsuntos!G12," - ")</f>
        <v>0.54800817160367721</v>
      </c>
      <c r="D12" s="444">
        <f>IF(ISNUMBER('Resol  Asuntos'!D12/NºAsuntos!G12),'Resol  Asuntos'!D12/NºAsuntos!G12," - ")</f>
        <v>0.21501532175689478</v>
      </c>
      <c r="E12" s="445">
        <f>IF(ISNUMBER((NºAsuntos!C12+NºAsuntos!E12)/NºAsuntos!G12),(NºAsuntos!C12+NºAsuntos!E12)/NºAsuntos!G12," - ")</f>
        <v>1.5480081716036773</v>
      </c>
      <c r="G12" s="463"/>
    </row>
    <row r="13" spans="1:7" ht="14.25" thickTop="1" thickBot="1">
      <c r="A13" s="848" t="str">
        <f>Datos!A13</f>
        <v>TOTAL</v>
      </c>
      <c r="B13" s="858">
        <f>IF(ISNUMBER(NºAsuntos!G13/NºAsuntos!E13),NºAsuntos!G13/NºAsuntos!E13," - ")</f>
        <v>0.87855871886120995</v>
      </c>
      <c r="C13" s="859">
        <f>IF(ISNUMBER(NºAsuntos!I13/NºAsuntos!G13),NºAsuntos!I13/NºAsuntos!G13," - ")</f>
        <v>0.55189873417721524</v>
      </c>
      <c r="D13" s="860">
        <f>IF(ISNUMBER('Resol  Asuntos'!D13/NºAsuntos!G13),'Resol  Asuntos'!D13/NºAsuntos!G13," - ")</f>
        <v>0.21924050632911393</v>
      </c>
      <c r="E13" s="861">
        <f>IF(ISNUMBER((NºAsuntos!C13+NºAsuntos!E13)/NºAsuntos!G13),(NºAsuntos!C13+NºAsuntos!E13)/NºAsuntos!G13," - ")</f>
        <v>1.5518987341772152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0.97703788748564868</v>
      </c>
      <c r="C16" s="443">
        <f>IF(ISNUMBER(NºAsuntos!I16/NºAsuntos!G16),NºAsuntos!I16/NºAsuntos!G16," - ")</f>
        <v>0.32726204465334902</v>
      </c>
      <c r="D16" s="444">
        <f>IF(ISNUMBER('Resol  Asuntos'!D16/NºAsuntos!G16),'Resol  Asuntos'!D16/NºAsuntos!G16," - ")</f>
        <v>0.12103407755581669</v>
      </c>
      <c r="E16" s="445">
        <f>IF(ISNUMBER((NºAsuntos!C16+NºAsuntos!E16)/NºAsuntos!G16),(NºAsuntos!C16+NºAsuntos!E16)/NºAsuntos!G16," - ")</f>
        <v>1.327262044653349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0.23809523809523808</v>
      </c>
      <c r="D17" s="444">
        <f>IF(ISNUMBER('Resol  Asuntos'!D17/NºAsuntos!G17),'Resol  Asuntos'!D17/NºAsuntos!G17," - ")</f>
        <v>0.23333333333333334</v>
      </c>
      <c r="E17" s="445">
        <f>IF(ISNUMBER((NºAsuntos!C17+NºAsuntos!E17)/NºAsuntos!G17),(NºAsuntos!C17+NºAsuntos!E17)/NºAsuntos!G17," - ")</f>
        <v>1.2380952380952381</v>
      </c>
      <c r="G17" s="463"/>
    </row>
    <row r="18" spans="1:7" ht="14.25" thickTop="1" thickBot="1">
      <c r="A18" s="848" t="str">
        <f>Datos!A18</f>
        <v>TOTAL</v>
      </c>
      <c r="B18" s="858">
        <f>IF(ISNUMBER(NºAsuntos!G18/NºAsuntos!E18),NºAsuntos!G18/NºAsuntos!E18," - ")</f>
        <v>0.97950819672131151</v>
      </c>
      <c r="C18" s="859">
        <f>IF(ISNUMBER(NºAsuntos!I18/NºAsuntos!G18),NºAsuntos!I18/NºAsuntos!G18," - ")</f>
        <v>0.31746861924686193</v>
      </c>
      <c r="D18" s="862">
        <f>IF(ISNUMBER('Resol  Asuntos'!D18/NºAsuntos!G18),'Resol  Asuntos'!D18/NºAsuntos!G18," - ")</f>
        <v>0.13336820083682008</v>
      </c>
      <c r="E18" s="861">
        <f>IF(ISNUMBER((NºAsuntos!C18+NºAsuntos!E18)/NºAsuntos!G18),(NºAsuntos!C18+NºAsuntos!E18)/NºAsuntos!G18," - ")</f>
        <v>1.3174686192468619</v>
      </c>
      <c r="G18" s="463"/>
    </row>
    <row r="19" spans="1:7" ht="15.75" customHeight="1" thickTop="1" thickBot="1">
      <c r="A19" s="793" t="str">
        <f>Datos!A19</f>
        <v>TOTAL JURISDICCIONES</v>
      </c>
      <c r="B19" s="808">
        <f>IF(ISNUMBER(NºAsuntos!G19/NºAsuntos!E19),NºAsuntos!G19/NºAsuntos!E19," - ")</f>
        <v>0.92547619047619045</v>
      </c>
      <c r="C19" s="809">
        <f>IF(ISNUMBER(NºAsuntos!I19/NºAsuntos!G19),NºAsuntos!I19/NºAsuntos!G19," - ")</f>
        <v>0.43658348340622588</v>
      </c>
      <c r="D19" s="810">
        <f>IF(ISNUMBER('Resol  Asuntos'!D19/NºAsuntos!G19),'Resol  Asuntos'!D19/NºAsuntos!G19," - ")</f>
        <v>0.17700025726781579</v>
      </c>
      <c r="E19" s="811">
        <f>IF(ISNUMBER((NºAsuntos!C19+NºAsuntos!E19)/NºAsuntos!G19),(NºAsuntos!C19+NºAsuntos!E19)/NºAsuntos!G19," - ")</f>
        <v>1.4365834834062259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nVDrlCB9MaTQ3cbSupM3GpFdZ8S9DI53GVlOQdARQE+mPHzcMKhfy4fxtH5zBqSZYHLLROm6DS8qulXy0WKrw==" saltValue="WcR1HYwMrHkQL7O3clNT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MONZON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17</v>
      </c>
      <c r="AB10" s="334">
        <f>IF(ISNUMBER(Datos!R10),Datos!R10," - ")</f>
        <v>5</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0.65384615384615385</v>
      </c>
      <c r="AM10" s="260">
        <f>IF(ISNUMBER(((NºAsuntos!I10/NºAsuntos!G10)*11)/factor_trimestre),((NºAsuntos!I10/NºAsuntos!G10)*11)/factor_trimestre," - ")</f>
        <v>11</v>
      </c>
      <c r="AN10" s="244">
        <f>IF(ISNUMBER('Resol  Asuntos'!D10/NºAsuntos!G10),'Resol  Asuntos'!D10/NºAsuntos!G10," - ")</f>
        <v>0.70588235294117652</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327</v>
      </c>
      <c r="Y12" s="334">
        <f t="shared" si="0"/>
        <v>327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421</v>
      </c>
      <c r="AJ12" s="229" t="str">
        <f>IF(ISNUMBER(Datos!BW12),Datos!BW12," - ")</f>
        <v xml:space="preserve"> - </v>
      </c>
      <c r="AK12" s="228" t="str">
        <f>IF(ISNUMBER(Datos!BX12),Datos!BX12," - ")</f>
        <v xml:space="preserve"> - </v>
      </c>
      <c r="AL12" s="243">
        <f>IF(ISNUMBER(NºAsuntos!G12/NºAsuntos!E12),NºAsuntos!G12/NºAsuntos!E12," - ")</f>
        <v>0.88118811881188119</v>
      </c>
      <c r="AM12" s="260">
        <f>IF(ISNUMBER(((NºAsuntos!I12/NºAsuntos!G12)*11)/factor_trimestre),((NºAsuntos!I12/NºAsuntos!G12)*11)/factor_trimestre," - ")</f>
        <v>6.0280898876404496</v>
      </c>
      <c r="AN12" s="244">
        <f>IF(ISNUMBER('Resol  Asuntos'!D12/NºAsuntos!G12),'Resol  Asuntos'!D12/NºAsuntos!G12," - ")</f>
        <v>0.21501532175689478</v>
      </c>
      <c r="AO12" s="245">
        <f>IF(ISNUMBER((NºAsuntos!C12+NºAsuntos!E12)/NºAsuntos!G12),(NºAsuntos!C12+NºAsuntos!E12)/NºAsuntos!G12," - ")</f>
        <v>1.5480081716036773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480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328</v>
      </c>
      <c r="Y13" s="868">
        <f t="shared" si="4"/>
        <v>345</v>
      </c>
      <c r="Z13" s="868">
        <f t="shared" si="4"/>
        <v>0</v>
      </c>
      <c r="AA13" s="868">
        <f t="shared" si="4"/>
        <v>17</v>
      </c>
      <c r="AB13" s="868">
        <f t="shared" si="4"/>
        <v>1533</v>
      </c>
      <c r="AC13" s="868">
        <f t="shared" si="4"/>
        <v>22</v>
      </c>
      <c r="AD13" s="868">
        <f t="shared" si="4"/>
        <v>0</v>
      </c>
      <c r="AE13" s="872">
        <f t="shared" si="4"/>
        <v>0</v>
      </c>
      <c r="AF13" s="865">
        <f t="shared" si="4"/>
        <v>0</v>
      </c>
      <c r="AG13" s="873">
        <f t="shared" si="4"/>
        <v>0</v>
      </c>
      <c r="AH13" s="870">
        <f t="shared" si="4"/>
        <v>0</v>
      </c>
      <c r="AI13" s="865">
        <f t="shared" si="4"/>
        <v>433</v>
      </c>
      <c r="AJ13" s="867">
        <f t="shared" si="4"/>
        <v>0</v>
      </c>
      <c r="AK13" s="870">
        <f>SUBTOTAL(9,AK9:AK12)</f>
        <v>0</v>
      </c>
      <c r="AL13" s="874">
        <f>IF(ISNUMBER(NºAsuntos!G13/NºAsuntos!E13),NºAsuntos!G13/NºAsuntos!E13," - ")</f>
        <v>0.87855871886120995</v>
      </c>
      <c r="AM13" s="874">
        <f>IF(ISNUMBER(((NºAsuntos!I13/NºAsuntos!G13)*11)/factor_trimestre),((NºAsuntos!I13/NºAsuntos!G13)*11)/factor_trimestre," - ")</f>
        <v>6.0708860759493675</v>
      </c>
      <c r="AN13" s="875">
        <f>IF(ISNUMBER('Resol  Asuntos'!D13/NºAsuntos!G13),'Resol  Asuntos'!D13/NºAsuntos!G13," - ")</f>
        <v>0.21924050632911393</v>
      </c>
      <c r="AO13" s="876">
        <f>IF(ISNUMBER((NºAsuntos!C13+NºAsuntos!E13)/NºAsuntos!G13),(NºAsuntos!C13+NºAsuntos!E13)/NºAsuntos!G13," - ")</f>
        <v>1.5518987341772152</v>
      </c>
      <c r="AP13" s="877" t="str">
        <f t="shared" si="2"/>
        <v xml:space="preserve"> - </v>
      </c>
      <c r="AQ13" s="877">
        <f>IF(ISNUMBER((H13-W13+K13)/(F13)),(H13-W13+K13)/(F13)," - ")</f>
        <v>-2.125</v>
      </c>
      <c r="AR13" s="878">
        <f>IF(ISNUMBER((Datos!P13-Datos!Q13)/(Datos!R13-Datos!P13+Datos!Q13)),(Datos!P13-Datos!Q13)/(Datos!R13-Datos!P13+Datos!Q13)," - ")</f>
        <v>0.11006517016654598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517</v>
      </c>
      <c r="G16" s="333">
        <f>IF(ISNUMBER(IF(D_I="SI",Datos!I16,Datos!I16+Datos!AC16)),IF(D_I="SI",Datos!I16,Datos!I16+Datos!AC16)," - ")</f>
        <v>517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1702</v>
      </c>
      <c r="X16" s="226">
        <f>IF(ISNUMBER(Datos!Q16),Datos!Q16," - ")</f>
        <v>31</v>
      </c>
      <c r="Y16" s="334">
        <f t="shared" ref="Y16:Y17" si="7">SUM(W16:X16)</f>
        <v>1733</v>
      </c>
      <c r="Z16" s="335" t="str">
        <f>IF(ISNUMBER(Datos!CC16),Datos!CC16," - ")</f>
        <v xml:space="preserve"> - </v>
      </c>
      <c r="AA16" s="332">
        <f>IF(ISNUMBER(IF(D_I="SI",Datos!L16,Datos!L16+Datos!AF16)),IF(D_I="SI",Datos!L16,Datos!L16+Datos!AF16)," - ")</f>
        <v>557</v>
      </c>
      <c r="AB16" s="334">
        <f>IF(ISNUMBER(Datos!R16),Datos!R16," - ")</f>
        <v>38</v>
      </c>
      <c r="AC16" s="334">
        <f t="shared" si="6"/>
        <v>595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206</v>
      </c>
      <c r="AJ16" s="231" t="str">
        <f>IF(ISNUMBER(Datos!BW16),Datos!BW16," - ")</f>
        <v xml:space="preserve"> - </v>
      </c>
      <c r="AK16" s="232" t="str">
        <f>IF(ISNUMBER(Datos!BX16),Datos!BX16," - ")</f>
        <v xml:space="preserve"> - </v>
      </c>
      <c r="AL16" s="243">
        <f>IF(ISNUMBER(NºAsuntos!G16/NºAsuntos!E16),NºAsuntos!G16/NºAsuntos!E16," - ")</f>
        <v>0.97703788748564868</v>
      </c>
      <c r="AM16" s="260">
        <f>IF(ISNUMBER(((NºAsuntos!I16/NºAsuntos!G16)*11)/factor_trimestre),((NºAsuntos!I16/NºAsuntos!G16)*11)/factor_trimestre," - ")</f>
        <v>3.5998824911868392</v>
      </c>
      <c r="AN16" s="244">
        <f>IF(ISNUMBER('Resol  Asuntos'!D16/NºAsuntos!G16),'Resol  Asuntos'!D16/NºAsuntos!G16," - ")</f>
        <v>0.12103407755581669</v>
      </c>
      <c r="AO16" s="245">
        <f>IF(ISNUMBER((NºAsuntos!C16+NºAsuntos!E16)/NºAsuntos!G16),(NºAsuntos!C16+NºAsuntos!E16)/NºAsuntos!G16," - ")</f>
        <v>1.327262044653349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210</v>
      </c>
      <c r="X17" s="226">
        <f>IF(ISNUMBER(Datos!Q17),Datos!Q17," - ")</f>
        <v>3</v>
      </c>
      <c r="Y17" s="334">
        <f t="shared" si="7"/>
        <v>213</v>
      </c>
      <c r="Z17" s="335" t="str">
        <f>IF(ISNUMBER(Datos!CC17),Datos!CC17," - ")</f>
        <v xml:space="preserve"> - </v>
      </c>
      <c r="AA17" s="332">
        <f>IF(ISNUMBER(Datos!L17),Datos!L17,"-")</f>
        <v>50</v>
      </c>
      <c r="AB17" s="334">
        <f>IF(ISNUMBER(Datos!R17),Datos!R17," - ")</f>
        <v>2</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2.6190476190476191</v>
      </c>
      <c r="AN17" s="244">
        <f>IF(ISNUMBER('Resol  Asuntos'!D17/NºAsuntos!G17),'Resol  Asuntos'!D17/NºAsuntos!G17," - ")</f>
        <v>0.23333333333333334</v>
      </c>
      <c r="AO17" s="245">
        <f>IF(ISNUMBER((NºAsuntos!C17+NºAsuntos!E17)/NºAsuntos!G17),(NºAsuntos!C17+NºAsuntos!E17)/NºAsuntos!G17," - ")</f>
        <v>1.2380952380952381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517</v>
      </c>
      <c r="G18" s="866">
        <f>SUBTOTAL(9,G15:G17)</f>
        <v>567</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1912</v>
      </c>
      <c r="X18" s="867">
        <f t="shared" si="11"/>
        <v>34</v>
      </c>
      <c r="Y18" s="868">
        <f t="shared" si="11"/>
        <v>1946</v>
      </c>
      <c r="Z18" s="868">
        <f t="shared" si="11"/>
        <v>0</v>
      </c>
      <c r="AA18" s="868">
        <f t="shared" si="11"/>
        <v>607</v>
      </c>
      <c r="AB18" s="868">
        <f t="shared" si="11"/>
        <v>40</v>
      </c>
      <c r="AC18" s="868">
        <f t="shared" si="11"/>
        <v>647</v>
      </c>
      <c r="AD18" s="868">
        <f t="shared" si="11"/>
        <v>0</v>
      </c>
      <c r="AE18" s="872">
        <f t="shared" si="11"/>
        <v>0</v>
      </c>
      <c r="AF18" s="865">
        <f t="shared" si="11"/>
        <v>0</v>
      </c>
      <c r="AG18" s="873">
        <f t="shared" si="11"/>
        <v>0</v>
      </c>
      <c r="AH18" s="870">
        <f t="shared" si="11"/>
        <v>0</v>
      </c>
      <c r="AI18" s="865">
        <f t="shared" si="11"/>
        <v>255</v>
      </c>
      <c r="AJ18" s="867">
        <f t="shared" si="11"/>
        <v>0</v>
      </c>
      <c r="AK18" s="870">
        <f t="shared" si="11"/>
        <v>0</v>
      </c>
      <c r="AL18" s="874">
        <f>IF(ISNUMBER(NºAsuntos!G18/NºAsuntos!E18),NºAsuntos!G18/NºAsuntos!E18," - ")</f>
        <v>0.97950819672131151</v>
      </c>
      <c r="AM18" s="874">
        <f>IF(ISNUMBER(((NºAsuntos!I18/NºAsuntos!G18)*11)/factor_trimestre),((NºAsuntos!I18/NºAsuntos!G18)*11)/factor_trimestre," - ")</f>
        <v>3.4921548117154813</v>
      </c>
      <c r="AN18" s="875">
        <f>IF(ISNUMBER('Resol  Asuntos'!D18/NºAsuntos!G18),'Resol  Asuntos'!D18/NºAsuntos!G18," - ")</f>
        <v>0.13336820083682008</v>
      </c>
      <c r="AO18" s="876">
        <f>IF(ISNUMBER((NºAsuntos!C18+NºAsuntos!E18)/NºAsuntos!G18),(NºAsuntos!C18+NºAsuntos!E18)/NºAsuntos!G18," - ")</f>
        <v>1.3174686192468619</v>
      </c>
      <c r="AP18" s="877" t="str">
        <f t="shared" si="2"/>
        <v xml:space="preserve"> - </v>
      </c>
      <c r="AQ18" s="877">
        <f>IF(ISNUMBER((H18-W18+K18)/(F18)),(H18-W18+K18)/(F18)," - ")</f>
        <v>-3.6982591876208897</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525</v>
      </c>
      <c r="G19" s="821">
        <f t="shared" si="13"/>
        <v>575</v>
      </c>
      <c r="H19" s="820">
        <f t="shared" si="13"/>
        <v>0</v>
      </c>
      <c r="I19" s="822">
        <f t="shared" si="13"/>
        <v>0</v>
      </c>
      <c r="J19" s="822">
        <f t="shared" si="13"/>
        <v>0</v>
      </c>
      <c r="K19" s="881">
        <f t="shared" si="13"/>
        <v>0</v>
      </c>
      <c r="L19" s="822">
        <f t="shared" si="13"/>
        <v>512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1929</v>
      </c>
      <c r="X19" s="821">
        <f t="shared" si="14"/>
        <v>362</v>
      </c>
      <c r="Y19" s="828">
        <f t="shared" si="14"/>
        <v>2291</v>
      </c>
      <c r="Z19" s="828">
        <f t="shared" si="14"/>
        <v>0</v>
      </c>
      <c r="AA19" s="828">
        <f t="shared" si="14"/>
        <v>624</v>
      </c>
      <c r="AB19" s="828">
        <f t="shared" si="14"/>
        <v>1573</v>
      </c>
      <c r="AC19" s="828">
        <f t="shared" si="14"/>
        <v>669</v>
      </c>
      <c r="AD19" s="828">
        <f t="shared" si="14"/>
        <v>0</v>
      </c>
      <c r="AE19" s="830">
        <f t="shared" si="14"/>
        <v>0</v>
      </c>
      <c r="AF19" s="831">
        <f t="shared" si="14"/>
        <v>0</v>
      </c>
      <c r="AG19" s="832">
        <f t="shared" si="14"/>
        <v>0</v>
      </c>
      <c r="AH19" s="830">
        <f t="shared" si="14"/>
        <v>0</v>
      </c>
      <c r="AI19" s="820">
        <f t="shared" si="14"/>
        <v>688</v>
      </c>
      <c r="AJ19" s="820">
        <f t="shared" si="14"/>
        <v>0</v>
      </c>
      <c r="AK19" s="830">
        <f t="shared" si="14"/>
        <v>0</v>
      </c>
      <c r="AL19" s="884">
        <f>IF(ISNUMBER(NºAsuntos!G19/NºAsuntos!E19),NºAsuntos!G19/NºAsuntos!E19," - ")</f>
        <v>0.92547619047619045</v>
      </c>
      <c r="AM19" s="885">
        <f>IF(ISNUMBER(((NºAsuntos!I19/NºAsuntos!G19)*11)/factor_trimestre),((NºAsuntos!I19/NºAsuntos!G19)*11)/factor_trimestre," - ")</f>
        <v>4.8024183174684847</v>
      </c>
      <c r="AN19" s="885">
        <f>IF(ISNUMBER('Resol  Asuntos'!D19/NºAsuntos!G19),'Resol  Asuntos'!D19/NºAsuntos!G19," - ")</f>
        <v>0.17700025726781579</v>
      </c>
      <c r="AO19" s="886">
        <f>IF(ISNUMBER((NºAsuntos!C19+NºAsuntos!E19)/NºAsuntos!G19),(NºAsuntos!C19+NºAsuntos!E19)/NºAsuntos!G19," - ")</f>
        <v>1.4365834834062259</v>
      </c>
      <c r="AP19" s="887" t="str">
        <f t="shared" si="2"/>
        <v xml:space="preserve"> - </v>
      </c>
      <c r="AQ19" s="888">
        <f>IF(OR(ISNUMBER(FIND("01",Criterios!A8,1)),ISNUMBER(FIND("02",Criterios!A8,1)),ISNUMBER(FIND("03",Criterios!A8,1)),ISNUMBER(FIND("04",Criterios!A8,1))),(I19-W19+K19)/(F19-K19),(H19-W19+K19)/(F19-K19))</f>
        <v>-3.6742857142857144</v>
      </c>
      <c r="AR19" s="889">
        <f>IF(ISNUMBER((Datos!P19-Datos!Q19)/(Datos!R19-Datos!P19+Datos!Q19)),(Datos!P19-Datos!Q19)/(Datos!R19-Datos!P19+Datos!Q19)," - ")</f>
        <v>0.10541110330288124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293.87128701751948</v>
      </c>
      <c r="G21" s="253">
        <f>IF(ISNUMBER(STDEV(G8:G18)),STDEV(G8:G18),"-")</f>
        <v>285.87847068291097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951.36654345210184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178.42271903170476</v>
      </c>
      <c r="AJ21" s="252">
        <f t="shared" si="18"/>
        <v>0</v>
      </c>
      <c r="AK21" s="254">
        <f t="shared" si="18"/>
        <v>0</v>
      </c>
      <c r="AL21" s="249">
        <f t="shared" si="18"/>
        <v>0.12923862300005573</v>
      </c>
      <c r="AM21" s="250">
        <f t="shared" si="18"/>
        <v>3.0591028913284846</v>
      </c>
      <c r="AN21" s="250">
        <f t="shared" si="18"/>
        <v>0.21807635035129211</v>
      </c>
      <c r="AO21" s="251">
        <f t="shared" si="18"/>
        <v>0.27810026284804296</v>
      </c>
      <c r="AP21" s="291" t="str">
        <f t="shared" si="18"/>
        <v>-</v>
      </c>
      <c r="AQ21" s="292">
        <f t="shared" si="18"/>
        <v>1.1124622401307707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SCXGOwhjW6DUWiek9jM/4lvnH8DTIuRT5BmQekKc7x4eho/LbLHSFgceT85MyP6p+utRUXgmtJg1yNWSw8G/Q==" saltValue="fvZUgLv0Qh+mjRsQshkM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MONZON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0.625</v>
      </c>
      <c r="F10" s="348">
        <f>IF(ISNUMBER((Datos!K10-Datos!U10)/Datos!U10),(Datos!K10-Datos!U10)/Datos!U10," - ")</f>
        <v>0.30769230769230771</v>
      </c>
      <c r="G10" s="349">
        <f>IF(ISNUMBER((Datos!L10-Datos!V10)/Datos!V10),(Datos!L10-Datos!V10)/Datos!V10," - ")</f>
        <v>1.125</v>
      </c>
      <c r="H10" s="230">
        <f>IF(ISNUMBER((Datos!M10-Datos!W10)/Datos!W10),(Datos!M10-Datos!W10)/Datos!W10," - ")</f>
        <v>3</v>
      </c>
      <c r="I10" s="350">
        <f>IF(ISNUMBER((Tasas!C10-Datos!BE10)/Datos!BE10),(Tasas!C10-Datos!BE10)/Datos!BE10," - ")</f>
        <v>0.62499999999999989</v>
      </c>
      <c r="J10" s="349">
        <f>IF(ISNUMBER((Tasas!D10-Datos!BF10)/Datos!BF10),(Tasas!D10-Datos!BF10)/Datos!BF10," - ")</f>
        <v>2.0588235294117649</v>
      </c>
      <c r="K10" s="351">
        <f>IF(ISNUMBER((Tasas!E10-Datos!BG10)/Datos!BG10),(Tasas!E10-Datos!BG10)/Datos!BG10," - ")</f>
        <v>0.23809523809523808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0.11081794195250659</v>
      </c>
      <c r="I12" s="350">
        <f>IF(ISNUMBER((Tasas!C12-Datos!BE12)/Datos!BE12),(Tasas!C12-Datos!BE12)/Datos!BE12," - ")</f>
        <v>0.18610915757483157</v>
      </c>
      <c r="J12" s="349">
        <f>IF(ISNUMBER((Tasas!D12-Datos!BF12)/Datos!BF12),(Tasas!D12-Datos!BF12)/Datos!BF12," - ")</f>
        <v>-0.4986793230408485</v>
      </c>
      <c r="K12" s="351">
        <f>IF(ISNUMBER((Tasas!E12-Datos!BG12)/Datos!BG12),(Tasas!E12-Datos!BG12)/Datos!BG12," - ")</f>
        <v>4.2925089833797274E-2</v>
      </c>
      <c r="M12" t="e">
        <f>IF(Monitorios="SI",Datos!CE12,0)</f>
        <v>#REF!</v>
      </c>
      <c r="N12" t="e">
        <f>IF(Monitorios="SI",Datos!CF12,0)</f>
        <v>#REF!</v>
      </c>
      <c r="O12" t="e">
        <f>IF(Monitorios="SI",Datos!CG12,0)</f>
        <v>#REF!</v>
      </c>
      <c r="P12" t="e">
        <f>IF(Monitorios="SI",Datos!CH12,0)</f>
        <v>#REF!</v>
      </c>
      <c r="Q12">
        <f>IF(J_V="SI",0,Datos!AG12)</f>
        <v>14</v>
      </c>
      <c r="R12">
        <f>IF(J_V="SI",0,Datos!AH12)</f>
        <v>84</v>
      </c>
      <c r="S12">
        <f>IF(J_V="SI",0,Datos!AI12)</f>
        <v>86</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0.13350785340314136</v>
      </c>
      <c r="I13" s="357">
        <f>IF(ISNUMBER((Tasas!C13-Datos!BE13)/Datos!BE13),(Tasas!C13-Datos!BE13)/Datos!BE13," - ")</f>
        <v>0.19161489239731663</v>
      </c>
      <c r="J13" s="355">
        <f>IF(ISNUMBER((Tasas!D13-Datos!BF13)/Datos!BF13),(Tasas!D13-Datos!BF13)/Datos!BF13," - ")</f>
        <v>-0.48708189235469901</v>
      </c>
      <c r="K13" s="358">
        <f>IF(ISNUMBER((Tasas!E13-Datos!BG13)/Datos!BG13),(Tasas!E13-Datos!BG13)/Datos!BG13," - ")</f>
        <v>4.4866170644506737E-2</v>
      </c>
      <c r="M13" t="e">
        <f>IF(Monitorios="SI",Datos!CE13,0)</f>
        <v>#REF!</v>
      </c>
      <c r="N13" t="e">
        <f>IF(Monitorios="SI",Datos!CF13,0)</f>
        <v>#REF!</v>
      </c>
      <c r="O13" t="e">
        <f>IF(Monitorios="SI",Datos!CG13,0)</f>
        <v>#REF!</v>
      </c>
      <c r="P13" t="e">
        <f>IF(Monitorios="SI",Datos!CH13,0)</f>
        <v>#REF!</v>
      </c>
      <c r="Q13">
        <f>IF(J_V="SI",0,Datos!AG13)</f>
        <v>14</v>
      </c>
      <c r="R13">
        <f>IF(J_V="SI",0,Datos!AH13)</f>
        <v>84</v>
      </c>
      <c r="S13">
        <f>IF(J_V="SI",0,Datos!AI13)</f>
        <v>86</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0.53412462908011871</v>
      </c>
      <c r="E16" s="348">
        <f>IF(ISNUMBER(
   IF(D_I="SI",(Datos!J16-Datos!T16)/Datos!T16,(Datos!J16+Datos!AD16-(Datos!T16+Datos!AL16))/(Datos!T16+Datos!AL16))
     ),IF(D_I="SI",(Datos!J16-Datos!T16)/Datos!T16,(Datos!J16+Datos!AD16-(Datos!T16+Datos!AL16))/(Datos!T16+Datos!AL16))," - ")</f>
        <v>-3.3832501386577923E-2</v>
      </c>
      <c r="F16" s="348">
        <f>IF(ISNUMBER(
   IF(D_I="SI",(Datos!K16-Datos!U16)/Datos!U16,(Datos!K16+Datos!AE16-(Datos!U16+Datos!AM16))/(Datos!U16+Datos!AM16))
     ),IF(D_I="SI",(Datos!K16-Datos!U16)/Datos!U16,(Datos!K16+Datos!AE16-(Datos!U16+Datos!AM16))/(Datos!U16+Datos!AM16))," - ")</f>
        <v>3.5279805352798052E-2</v>
      </c>
      <c r="G16" s="349">
        <f>IF(ISNUMBER(
   IF(D_I="SI",(Datos!L16-Datos!V16)/Datos!V16,(Datos!L16+Datos!AF16-(Datos!V16+Datos!AN16))/(Datos!V16+Datos!AN16))
     ),IF(D_I="SI",(Datos!L16-Datos!V16)/Datos!V16,(Datos!L16+Datos!AF16-(Datos!V16+Datos!AN16))/(Datos!V16+Datos!AN16))," - ")</f>
        <v>7.7369439071566737E-2</v>
      </c>
      <c r="H16" s="230">
        <f>IF(ISNUMBER((Datos!M16-Datos!W16)/Datos!W16),(Datos!M16-Datos!W16)/Datos!W16," - ")</f>
        <v>7.8534031413612565E-2</v>
      </c>
      <c r="I16" s="350">
        <f>IF(ISNUMBER((Tasas!C16-Datos!BE16)/Datos!BE16),(Tasas!C16-Datos!BE16)/Datos!BE16," - ")</f>
        <v>4.0655321876413582E-2</v>
      </c>
      <c r="J16" s="349">
        <f>IF(ISNUMBER((Tasas!D16-Datos!BF16)/Datos!BF16),(Tasas!D16-Datos!BF16)/Datos!BF16," - ")</f>
        <v>4.1780227757919584E-2</v>
      </c>
      <c r="K16" s="351">
        <f>IF(ISNUMBER((Tasas!E16-Datos!BG16)/Datos!BG16),(Tasas!E16-Datos!BG16)/Datos!BG16," - ")</f>
        <v>1.9634953929955869E-2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0.85185185185185186</v>
      </c>
      <c r="E17" s="348">
        <f>IF(ISNUMBER(
   IF(D_I="SI",(Datos!J17-Datos!T17)/Datos!T17,(Datos!J17+Datos!AD17-(Datos!T17+Datos!AL17))/(Datos!T17+Datos!AL17))
     ),IF(D_I="SI",(Datos!J17-Datos!T17)/Datos!T17,(Datos!J17+Datos!AD17-(Datos!T17+Datos!AL17))/(Datos!T17+Datos!AL17))," - ")</f>
        <v>-4.9773755656108594E-2</v>
      </c>
      <c r="F17" s="348">
        <f>IF(ISNUMBER(
   IF(D_I="SI",(Datos!K17-Datos!U17)/Datos!U17,(Datos!K17+Datos!AE17-(Datos!U17+Datos!AM17))/(Datos!U17+Datos!AM17))
     ),IF(D_I="SI",(Datos!K17-Datos!U17)/Datos!U17,(Datos!K17+Datos!AE17-(Datos!U17+Datos!AM17))/(Datos!U17+Datos!AM17))," - ")</f>
        <v>6.0606060606060608E-2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-0.40243902439024393</v>
      </c>
      <c r="I17" s="350">
        <f>IF(ISNUMBER((Tasas!C17-Datos!BE17)/Datos!BE17),(Tasas!C17-Datos!BE17)/Datos!BE17," - ")</f>
        <v>-5.7142857142857259E-2</v>
      </c>
      <c r="J17" s="349">
        <f>IF(ISNUMBER((Tasas!D17-Datos!BF17)/Datos!BF17),(Tasas!D17-Datos!BF17)/Datos!BF17," - ")</f>
        <v>-0.43658536585365854</v>
      </c>
      <c r="K17" s="351">
        <f>IF(ISNUMBER((Tasas!E17-Datos!BG17)/Datos!BG17),(Tasas!E17-Datos!BG17)/Datos!BG17," - ")</f>
        <v>-1.1520737327188963E-2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0.55769230769230771</v>
      </c>
      <c r="E18" s="354">
        <f>IF(ISNUMBER(
   IF(D_I="SI",(Datos!J18-Datos!T18)/Datos!T18,(Datos!J18+Datos!AD18-(Datos!T18+Datos!AL18))/(Datos!T18+Datos!AL18))
     ),IF(D_I="SI",(Datos!J18-Datos!T18)/Datos!T18,(Datos!J18+Datos!AD18-(Datos!T18+Datos!AL18))/(Datos!T18+Datos!AL18))," - ")</f>
        <v>-3.5573122529644272E-2</v>
      </c>
      <c r="F18" s="354">
        <f>IF(ISNUMBER(
   IF(D_I="SI",(Datos!K18-Datos!U18)/Datos!U18,(Datos!K18+Datos!AE18-(Datos!U18+Datos!AM18))/(Datos!U18+Datos!AM18))
     ),IF(D_I="SI",(Datos!K18-Datos!U18)/Datos!U18,(Datos!K18+Datos!AE18-(Datos!U18+Datos!AM18))/(Datos!U18+Datos!AM18))," - ")</f>
        <v>3.8002171552660155E-2</v>
      </c>
      <c r="G18" s="355">
        <f>IF(ISNUMBER(
   IF(D_I="SI",(Datos!L18-Datos!V18)/Datos!V18,(Datos!L18+Datos!AF18-(Datos!V18+Datos!AN18))/(Datos!V18+Datos!AN18))
     ),IF(D_I="SI",(Datos!L18-Datos!V18)/Datos!V18,(Datos!L18+Datos!AF18-(Datos!V18+Datos!AN18))/(Datos!V18+Datos!AN18))," - ")</f>
        <v>7.0546737213403876E-2</v>
      </c>
      <c r="H18" s="356">
        <f>IF(ISNUMBER((Datos!M18-Datos!W18)/Datos!W18),(Datos!M18-Datos!W18)/Datos!W18," - ")</f>
        <v>-6.5934065934065936E-2</v>
      </c>
      <c r="I18" s="357">
        <f>IF(ISNUMBER((Tasas!C18-Datos!BE18)/Datos!BE18),(Tasas!C18-Datos!BE18)/Datos!BE18," - ")</f>
        <v>3.1353080516260352E-2</v>
      </c>
      <c r="J18" s="355">
        <f>IF(ISNUMBER((Tasas!D18-Datos!BF18)/Datos!BF18),(Tasas!D18-Datos!BF18)/Datos!BF18," - ")</f>
        <v>-0.10013104050760965</v>
      </c>
      <c r="K18" s="358">
        <f>IF(ISNUMBER((Tasas!E18-Datos!BG18)/Datos!BG18),(Tasas!E18-Datos!BG18)/Datos!BG18," - ")</f>
        <v>1.6238357057252822E-2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0.42975206611570249</v>
      </c>
      <c r="E19" s="363">
        <f>IF(ISNUMBER(
   IF(J_V="SI",(Datos!J19-Datos!T19)/Datos!T19,(Datos!J19+Datos!Z19-(Datos!T19+Datos!AH19))/(Datos!T19+Datos!AH19))
     ),IF(J_V="SI",(Datos!J19-Datos!T19)/Datos!T19,(Datos!J19+Datos!Z19-(Datos!T19+Datos!AH19))/(Datos!T19+Datos!AH19))," - ")</f>
        <v>3.9603960396039604E-2</v>
      </c>
      <c r="F19" s="363">
        <f>IF(ISNUMBER(
   IF(J_V="SI",(Datos!K19-Datos!U19)/Datos!U19,(Datos!K19+Datos!AA19-(Datos!U19+Datos!AI19))/(Datos!U19+Datos!AI19))
     ),IF(J_V="SI",(Datos!K19-Datos!U19)/Datos!U19,(Datos!K19+Datos!AA19-(Datos!U19+Datos!AI19))/(Datos!U19+Datos!AI19))," - ")</f>
        <v>7.7925679423183583E-2</v>
      </c>
      <c r="G19" s="364">
        <f>IF(ISNUMBER(
   IF(J_V="SI",(Datos!L19-Datos!V19)/Datos!V19,(Datos!L19+Datos!AB19-(Datos!V19+Datos!AJ19))/(Datos!V19+Datos!AJ19))
     ),IF(J_V="SI",(Datos!L19-Datos!V19)/Datos!V19,(Datos!L19+Datos!AB19-(Datos!V19+Datos!AJ19))/(Datos!V19+Datos!AJ19))," - ")</f>
        <v>0.22615606936416185</v>
      </c>
      <c r="H19" s="365">
        <f>IF(ISNUMBER((Datos!M19-Datos!W19)/Datos!W19),(Datos!M19-Datos!W19)/Datos!W19," - ")</f>
        <v>5.0381679389312976E-2</v>
      </c>
      <c r="I19" s="362">
        <f>IF(ISNUMBER((Tasas!C19-Datos!BE19)/Datos!BE19),(Tasas!C19-Datos!BE19)/Datos!BE19," - ")</f>
        <v>0.13751448060899607</v>
      </c>
      <c r="J19" s="363">
        <f>IF(ISNUMBER((Tasas!D19-Datos!BF19)/Datos!BF19),(Tasas!D19-Datos!BF19)/Datos!BF19," - ")</f>
        <v>-0.37851711031378416</v>
      </c>
      <c r="K19" s="364">
        <f>IF(ISNUMBER((Tasas!E19-Datos!BG19)/Datos!BG19),(Tasas!E19-Datos!BG19)/Datos!BG19," - ")</f>
        <v>3.4408953906319921E-2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0.1465135720644446</v>
      </c>
      <c r="E21" s="278">
        <f t="shared" si="1"/>
        <v>0.33243991283450397</v>
      </c>
      <c r="F21" s="278">
        <f t="shared" si="1"/>
        <v>0.13202042794718014</v>
      </c>
      <c r="G21" s="279">
        <f t="shared" si="1"/>
        <v>0.5389832941974233</v>
      </c>
      <c r="H21" s="285">
        <f t="shared" si="1"/>
        <v>1.2525622756506005</v>
      </c>
      <c r="I21" s="277">
        <f t="shared" si="1"/>
        <v>0.24302165820416</v>
      </c>
      <c r="J21" s="278">
        <f t="shared" si="1"/>
        <v>0.98705195256603806</v>
      </c>
      <c r="K21" s="279">
        <f t="shared" si="1"/>
        <v>9.0423729297470418E-2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Mj0oNfpXq/9bnTs17ZVkF/aL/aPoALTfSP9p2xmn/KnIoGM8vnL5Pw7RdtdM6eG2SAN1B0zxp+RaKMiDVAhhA==" saltValue="h03r1AClJU6y1pS6vNcq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26</v>
      </c>
      <c r="F10" s="226">
        <f>IF(ISNUMBER(Datos!K10),Datos!K10," - ")</f>
        <v>17</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1.125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6.0280898876404496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517</v>
      </c>
      <c r="D16" s="225">
        <f>IF(ISNUMBER(IF(D_I="SI",Datos!I16,Datos!I16+Datos!AC16)),IF(D_I="SI",Datos!I16,Datos!I16+Datos!AC16)," - ")</f>
        <v>517</v>
      </c>
      <c r="E16" s="226">
        <f>IF(ISNUMBER(IF(D_I="SI",Datos!J16,Datos!J16+Datos!AD16)),IF(D_I="SI",Datos!J16,Datos!J16+Datos!AD16)," - ")</f>
        <v>1742</v>
      </c>
      <c r="F16" s="226">
        <f>IF(ISNUMBER(IF(D_I="SI",Datos!K16,Datos!K16+Datos!AE16)),IF(D_I="SI",Datos!K16,Datos!K16+Datos!AE16)," - ")</f>
        <v>1702</v>
      </c>
      <c r="G16" s="1034" t="str">
        <f>IF(Datos!E16&lt;&gt;"",Datos!E16,Datos!D16)</f>
        <v>04</v>
      </c>
      <c r="H16" s="227">
        <f>IF(ISNUMBER(IF(D_I="SI",Datos!L16,Datos!L16+Datos!AF16)),IF(D_I="SI",Datos!L16,Datos!L16+Datos!AF16)," - ")</f>
        <v>557</v>
      </c>
      <c r="I16" s="1044" t="str">
        <f>IF(ISNUMBER(Datos!AS16/Datos!BM16),Datos!AS16/Datos!BM16," - ")</f>
        <v xml:space="preserve"> - </v>
      </c>
      <c r="J16" s="1045">
        <f>IF(ISNUMBER(Datos!BY16/Datos!CN16),Datos!BY16/Datos!CN16," - ")</f>
        <v>0</v>
      </c>
      <c r="K16" s="230">
        <f t="shared" si="3"/>
        <v>7.7369439071566737E-2</v>
      </c>
      <c r="L16" s="1025">
        <f>IF(ISNUMBER(NºAsuntos!I16/NºAsuntos!G16),(NºAsuntos!I16/NºAsuntos!G16)*11," - ")</f>
        <v>3.5998824911868392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210</v>
      </c>
      <c r="F17" s="226">
        <f>IF(ISNUMBER(IF(D_I="SI",Datos!K17,Datos!K17+Datos!AE17)),IF(D_I="SI",Datos!K17,Datos!K17+Datos!AE17)," - ")</f>
        <v>210</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2.6190476190476191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567</v>
      </c>
      <c r="D18" s="1049">
        <f>SUBTOTAL(9,D15:D17)</f>
        <v>567</v>
      </c>
      <c r="E18" s="1050">
        <f>SUBTOTAL(9,E15:E17)</f>
        <v>1952</v>
      </c>
      <c r="F18" s="1050">
        <f>SUBTOTAL(9,F15:F17)</f>
        <v>1912</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575</v>
      </c>
      <c r="D19" s="1071">
        <f>SUBTOTAL(9,D9:D18)</f>
        <v>575</v>
      </c>
      <c r="E19" s="1072">
        <f>SUBTOTAL(9,E9:E18)</f>
        <v>1978</v>
      </c>
      <c r="F19" s="1072">
        <f>SUBTOTAL(9,F9:F18)</f>
        <v>1929</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tIyRmOfJfsnplQNvB1vTBE0czVzv1eUn9Ilu8rsfVVaDnfJwfMWEfvgonfnp83MHhbX0dCDTz6XA1naI1zShQ==" saltValue="xN8EXTkoi4zlwzKvieMk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bYnFjczMnVcLN9KfC8zLqJnUwySaCmWACpLK9pXZ1/tqK8ssEHH1yO1ACYUTMCnxfJc4NT+IaiDgAsej2WcPQ==" saltValue="NMHxAVco8ZU25GwXDJnW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26</v>
      </c>
      <c r="K10" s="181">
        <v>17</v>
      </c>
      <c r="L10" s="181">
        <v>17</v>
      </c>
      <c r="M10" s="181">
        <v>12</v>
      </c>
      <c r="N10" s="181">
        <v>2</v>
      </c>
      <c r="O10" s="181">
        <v>0</v>
      </c>
      <c r="P10" s="181">
        <v>2</v>
      </c>
      <c r="Q10" s="181">
        <v>1</v>
      </c>
      <c r="R10" s="181">
        <v>5</v>
      </c>
      <c r="S10" s="181">
        <v>5</v>
      </c>
      <c r="T10" s="181">
        <v>16</v>
      </c>
      <c r="U10" s="181">
        <v>13</v>
      </c>
      <c r="V10" s="181">
        <v>8</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16</v>
      </c>
      <c r="BA10" s="129">
        <f t="shared" si="0"/>
        <v>13</v>
      </c>
      <c r="BB10" s="129">
        <f t="shared" si="0"/>
        <v>8</v>
      </c>
      <c r="BC10" s="125">
        <f t="shared" si="0"/>
        <v>3</v>
      </c>
      <c r="BD10" s="126">
        <f>IF(ISNUMBER(BA10/AZ10),BA10/AZ10," - ")</f>
        <v>0.8125</v>
      </c>
      <c r="BE10" s="127">
        <f>IF(ISNUMBER(BB10/BA10),BB10/BA10, " - ")</f>
        <v>0.61538461538461542</v>
      </c>
      <c r="BF10" s="127">
        <f>IF(ISNUMBER(BC10/BA10),BC10/BA10, " - ")</f>
        <v>0.23076923076923078</v>
      </c>
      <c r="BG10" s="196">
        <f>IF(ISNUMBER((AY10+AZ10)/BA10),(AY10+AZ10)/BA10," - ")</f>
        <v>1.6153846153846154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796</v>
      </c>
      <c r="J12" s="183">
        <v>2113</v>
      </c>
      <c r="K12" s="183">
        <v>1856</v>
      </c>
      <c r="L12" s="183">
        <v>1053</v>
      </c>
      <c r="M12" s="183">
        <v>421</v>
      </c>
      <c r="N12" s="183">
        <v>859</v>
      </c>
      <c r="O12" s="181">
        <v>849</v>
      </c>
      <c r="P12" s="183">
        <v>478</v>
      </c>
      <c r="Q12" s="183">
        <v>327</v>
      </c>
      <c r="R12" s="183">
        <v>1528</v>
      </c>
      <c r="S12" s="183">
        <v>585</v>
      </c>
      <c r="T12" s="183">
        <v>1916</v>
      </c>
      <c r="U12" s="183">
        <v>1665</v>
      </c>
      <c r="V12" s="183">
        <v>796</v>
      </c>
      <c r="W12" s="183">
        <v>379</v>
      </c>
      <c r="X12" s="189">
        <v>751</v>
      </c>
      <c r="Y12" s="191">
        <v>13</v>
      </c>
      <c r="Z12" s="181">
        <v>109</v>
      </c>
      <c r="AA12" s="181">
        <v>102</v>
      </c>
      <c r="AB12" s="181">
        <v>20</v>
      </c>
      <c r="AC12" s="183">
        <v>0</v>
      </c>
      <c r="AD12" s="183">
        <v>0</v>
      </c>
      <c r="AE12" s="183">
        <v>0</v>
      </c>
      <c r="AF12" s="189">
        <v>0</v>
      </c>
      <c r="AG12" s="202">
        <v>14</v>
      </c>
      <c r="AH12" s="183">
        <v>84</v>
      </c>
      <c r="AI12" s="183">
        <v>86</v>
      </c>
      <c r="AJ12" s="203">
        <v>13</v>
      </c>
      <c r="AK12" s="182">
        <v>0</v>
      </c>
      <c r="AL12" s="183">
        <v>0</v>
      </c>
      <c r="AM12" s="183">
        <v>0</v>
      </c>
      <c r="AN12" s="189">
        <v>0</v>
      </c>
      <c r="AO12" s="259">
        <v>2</v>
      </c>
      <c r="AP12" s="155">
        <v>2</v>
      </c>
      <c r="AQ12" s="155">
        <v>2</v>
      </c>
      <c r="AR12" s="154">
        <v>2</v>
      </c>
      <c r="AS12" s="340" t="s">
        <v>802</v>
      </c>
      <c r="AT12" s="203"/>
      <c r="AU12" s="202"/>
      <c r="AV12" s="203"/>
      <c r="AW12" s="202"/>
      <c r="AX12" s="203"/>
      <c r="AY12" s="126">
        <f t="shared" si="1"/>
        <v>599</v>
      </c>
      <c r="AZ12" s="127">
        <f t="shared" si="1"/>
        <v>2000</v>
      </c>
      <c r="BA12" s="127">
        <f t="shared" si="1"/>
        <v>1751</v>
      </c>
      <c r="BB12" s="127">
        <f t="shared" si="1"/>
        <v>809</v>
      </c>
      <c r="BC12" s="125">
        <f>IF(ISNUMBER(X12),X12," - ")</f>
        <v>751</v>
      </c>
      <c r="BD12" s="126">
        <f t="shared" si="2"/>
        <v>0.87549999999999994</v>
      </c>
      <c r="BE12" s="127">
        <f t="shared" si="3"/>
        <v>0.46202170188463737</v>
      </c>
      <c r="BF12" s="127">
        <f t="shared" si="4"/>
        <v>0.42889777270131352</v>
      </c>
      <c r="BG12" s="196">
        <f t="shared" si="5"/>
        <v>1.4842946887492861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804</v>
      </c>
      <c r="J13" s="184">
        <f t="shared" si="6"/>
        <v>2139</v>
      </c>
      <c r="K13" s="184">
        <f t="shared" si="6"/>
        <v>1873</v>
      </c>
      <c r="L13" s="184">
        <f t="shared" si="6"/>
        <v>1070</v>
      </c>
      <c r="M13" s="184">
        <f t="shared" si="6"/>
        <v>433</v>
      </c>
      <c r="N13" s="184">
        <f t="shared" si="6"/>
        <v>861</v>
      </c>
      <c r="O13" s="184">
        <f t="shared" si="6"/>
        <v>849</v>
      </c>
      <c r="P13" s="184">
        <f t="shared" si="6"/>
        <v>480</v>
      </c>
      <c r="Q13" s="184">
        <f t="shared" si="6"/>
        <v>328</v>
      </c>
      <c r="R13" s="184">
        <f t="shared" si="6"/>
        <v>1533</v>
      </c>
      <c r="S13" s="184">
        <f t="shared" si="6"/>
        <v>590</v>
      </c>
      <c r="T13" s="184">
        <f t="shared" si="6"/>
        <v>1932</v>
      </c>
      <c r="U13" s="184">
        <f t="shared" si="6"/>
        <v>1678</v>
      </c>
      <c r="V13" s="184">
        <f t="shared" si="6"/>
        <v>804</v>
      </c>
      <c r="W13" s="184">
        <f t="shared" si="6"/>
        <v>382</v>
      </c>
      <c r="X13" s="184">
        <f t="shared" si="6"/>
        <v>751</v>
      </c>
      <c r="Y13" s="184">
        <f t="shared" si="6"/>
        <v>13</v>
      </c>
      <c r="Z13" s="184">
        <f t="shared" si="6"/>
        <v>109</v>
      </c>
      <c r="AA13" s="184">
        <f t="shared" si="6"/>
        <v>102</v>
      </c>
      <c r="AB13" s="184">
        <f t="shared" si="6"/>
        <v>20</v>
      </c>
      <c r="AC13" s="184">
        <f t="shared" si="6"/>
        <v>0</v>
      </c>
      <c r="AD13" s="184">
        <f t="shared" si="6"/>
        <v>0</v>
      </c>
      <c r="AE13" s="184">
        <f t="shared" si="6"/>
        <v>0</v>
      </c>
      <c r="AF13" s="184">
        <f>SUBTOTAL(9,AF9:AF12)</f>
        <v>0</v>
      </c>
      <c r="AG13" s="184">
        <f t="shared" ref="AG13:AT13" si="7">SUBTOTAL(9,AG8:AG12)</f>
        <v>14</v>
      </c>
      <c r="AH13" s="184">
        <f t="shared" si="7"/>
        <v>84</v>
      </c>
      <c r="AI13" s="184">
        <f t="shared" si="7"/>
        <v>86</v>
      </c>
      <c r="AJ13" s="184">
        <f t="shared" si="7"/>
        <v>13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604</v>
      </c>
      <c r="AZ13" s="184">
        <f>SUBTOTAL(9,AZ8:AZ12)</f>
        <v>2016</v>
      </c>
      <c r="BA13" s="184">
        <f>SUBTOTAL(9,BA8:BA12)</f>
        <v>1764</v>
      </c>
      <c r="BB13" s="184">
        <f>SUBTOTAL(9,BB8:BB12)</f>
        <v>817</v>
      </c>
      <c r="BC13" s="184">
        <f>SUBTOTAL(9,BC8:BC12)</f>
        <v>754</v>
      </c>
      <c r="BD13" s="205">
        <f>IF(ISNUMBER(BA13/AZ13),BA13/AZ13," - ")</f>
        <v>0.875</v>
      </c>
      <c r="BE13" s="206">
        <f>IF(ISNUMBER(BB13/BA13),BB13/BA13, " - ")</f>
        <v>0.46315192743764172</v>
      </c>
      <c r="BF13" s="206">
        <f>IF(ISNUMBER(BC13/BA13),BC13/BA13, " - ")</f>
        <v>0.42743764172335602</v>
      </c>
      <c r="BG13" s="207">
        <f>IF(ISNUMBER((AY13+AZ13)/BA13),(AY13+AZ13)/BA13," - ")</f>
        <v>1.4852607709750567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517</v>
      </c>
      <c r="J16" s="183">
        <v>1742</v>
      </c>
      <c r="K16" s="183">
        <v>1702</v>
      </c>
      <c r="L16" s="183">
        <v>557</v>
      </c>
      <c r="M16" s="183">
        <v>206</v>
      </c>
      <c r="N16" s="183">
        <v>1019</v>
      </c>
      <c r="O16" s="181">
        <v>7</v>
      </c>
      <c r="P16" s="183">
        <v>29</v>
      </c>
      <c r="Q16" s="183">
        <v>31</v>
      </c>
      <c r="R16" s="183">
        <v>38</v>
      </c>
      <c r="S16" s="183">
        <v>337</v>
      </c>
      <c r="T16" s="183">
        <v>1803</v>
      </c>
      <c r="U16" s="183">
        <v>1644</v>
      </c>
      <c r="V16" s="183">
        <v>517</v>
      </c>
      <c r="W16" s="183">
        <v>191</v>
      </c>
      <c r="X16" s="189">
        <v>977</v>
      </c>
      <c r="Y16" s="202">
        <v>0</v>
      </c>
      <c r="Z16" s="183">
        <v>0</v>
      </c>
      <c r="AA16" s="183">
        <v>0</v>
      </c>
      <c r="AB16" s="183">
        <v>0</v>
      </c>
      <c r="AC16" s="183">
        <v>0</v>
      </c>
      <c r="AD16" s="183">
        <v>18</v>
      </c>
      <c r="AE16" s="183">
        <v>18</v>
      </c>
      <c r="AF16" s="189">
        <v>0</v>
      </c>
      <c r="AG16" s="202">
        <v>0</v>
      </c>
      <c r="AH16" s="183">
        <v>0</v>
      </c>
      <c r="AI16" s="183">
        <v>0</v>
      </c>
      <c r="AJ16" s="203">
        <v>0</v>
      </c>
      <c r="AK16" s="182">
        <v>0</v>
      </c>
      <c r="AL16" s="183">
        <v>26</v>
      </c>
      <c r="AM16" s="183">
        <v>26</v>
      </c>
      <c r="AN16" s="189">
        <v>0</v>
      </c>
      <c r="AO16" s="259">
        <v>2</v>
      </c>
      <c r="AP16" s="155">
        <v>2</v>
      </c>
      <c r="AQ16" s="155">
        <v>2</v>
      </c>
      <c r="AR16" s="155">
        <v>2</v>
      </c>
      <c r="AS16" s="340" t="s">
        <v>487</v>
      </c>
      <c r="AT16" s="203"/>
      <c r="AU16" s="202"/>
      <c r="AV16" s="203"/>
      <c r="AW16" s="202"/>
      <c r="AX16" s="203"/>
      <c r="AY16" s="126">
        <f t="shared" si="9"/>
        <v>337</v>
      </c>
      <c r="AZ16" s="127">
        <f t="shared" si="9"/>
        <v>1803</v>
      </c>
      <c r="BA16" s="127">
        <f t="shared" si="9"/>
        <v>1644</v>
      </c>
      <c r="BB16" s="127">
        <f t="shared" si="9"/>
        <v>517</v>
      </c>
      <c r="BC16" s="125">
        <f>IF(ISNUMBER(W16),W16," - ")</f>
        <v>191</v>
      </c>
      <c r="BD16" s="126">
        <f t="shared" ref="BD16" si="11">IF(ISNUMBER(BA16/AZ16),BA16/AZ16," - ")</f>
        <v>0.91181364392678865</v>
      </c>
      <c r="BE16" s="127">
        <f t="shared" ref="BE16" si="12">IF(ISNUMBER(BB16/BA16),BB16/BA16, " - ")</f>
        <v>0.31447688564476883</v>
      </c>
      <c r="BF16" s="127">
        <f t="shared" ref="BF16" si="13">IF(ISNUMBER(BC16/BA16),BC16/BA16, " - ")</f>
        <v>0.11618004866180048</v>
      </c>
      <c r="BG16" s="196">
        <f t="shared" si="10"/>
        <v>1.3017031630170317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210</v>
      </c>
      <c r="K17" s="183">
        <v>210</v>
      </c>
      <c r="L17" s="183">
        <v>50</v>
      </c>
      <c r="M17" s="183">
        <v>49</v>
      </c>
      <c r="N17" s="183">
        <v>86</v>
      </c>
      <c r="O17" s="183">
        <v>0</v>
      </c>
      <c r="P17" s="183">
        <v>3</v>
      </c>
      <c r="Q17" s="183">
        <v>3</v>
      </c>
      <c r="R17" s="183">
        <v>2</v>
      </c>
      <c r="S17" s="183">
        <v>27</v>
      </c>
      <c r="T17" s="183">
        <v>221</v>
      </c>
      <c r="U17" s="183">
        <v>198</v>
      </c>
      <c r="V17" s="183">
        <v>50</v>
      </c>
      <c r="W17" s="183">
        <v>82</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221</v>
      </c>
      <c r="BA17" s="129">
        <f t="shared" si="14"/>
        <v>198</v>
      </c>
      <c r="BB17" s="129">
        <f t="shared" si="14"/>
        <v>50</v>
      </c>
      <c r="BC17" s="125">
        <f>IF(ISNUMBER(W17),W17," - ")</f>
        <v>82</v>
      </c>
      <c r="BD17" s="126">
        <f>IF(ISNUMBER(BA17/AZ17),BA17/AZ17," - ")</f>
        <v>0.89592760180995479</v>
      </c>
      <c r="BE17" s="127">
        <f>IF(ISNUMBER(BB17/BA17),BB17/BA17, " - ")</f>
        <v>0.25252525252525254</v>
      </c>
      <c r="BF17" s="127">
        <f>IF(ISNUMBER(BC17/BA17),BC17/BA17, " - ")</f>
        <v>0.41414141414141414</v>
      </c>
      <c r="BG17" s="196">
        <f>IF(ISNUMBER((AY17+AZ17)/BA17),(AY17+AZ17)/BA17," - ")</f>
        <v>1.2525252525252526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567</v>
      </c>
      <c r="J18" s="184">
        <f t="shared" si="15"/>
        <v>1952</v>
      </c>
      <c r="K18" s="184">
        <f t="shared" si="15"/>
        <v>1912</v>
      </c>
      <c r="L18" s="184">
        <f t="shared" si="15"/>
        <v>607</v>
      </c>
      <c r="M18" s="184">
        <f t="shared" si="15"/>
        <v>255</v>
      </c>
      <c r="N18" s="184">
        <f t="shared" si="15"/>
        <v>1105</v>
      </c>
      <c r="O18" s="184">
        <f t="shared" si="15"/>
        <v>7</v>
      </c>
      <c r="P18" s="184">
        <f t="shared" si="15"/>
        <v>32</v>
      </c>
      <c r="Q18" s="184">
        <f t="shared" si="15"/>
        <v>34</v>
      </c>
      <c r="R18" s="184">
        <f t="shared" si="15"/>
        <v>40</v>
      </c>
      <c r="S18" s="184">
        <f t="shared" si="15"/>
        <v>364</v>
      </c>
      <c r="T18" s="184">
        <f t="shared" si="15"/>
        <v>2024</v>
      </c>
      <c r="U18" s="184">
        <f t="shared" si="15"/>
        <v>1842</v>
      </c>
      <c r="V18" s="184">
        <f t="shared" si="15"/>
        <v>567</v>
      </c>
      <c r="W18" s="184">
        <f t="shared" si="15"/>
        <v>273</v>
      </c>
      <c r="X18" s="184">
        <f t="shared" si="15"/>
        <v>1066</v>
      </c>
      <c r="Y18" s="184">
        <f t="shared" si="15"/>
        <v>0</v>
      </c>
      <c r="Z18" s="184">
        <f t="shared" si="15"/>
        <v>0</v>
      </c>
      <c r="AA18" s="184">
        <f t="shared" si="15"/>
        <v>0</v>
      </c>
      <c r="AB18" s="184">
        <f t="shared" si="15"/>
        <v>0</v>
      </c>
      <c r="AC18" s="184">
        <f t="shared" si="15"/>
        <v>0</v>
      </c>
      <c r="AD18" s="184">
        <f t="shared" si="15"/>
        <v>18</v>
      </c>
      <c r="AE18" s="184">
        <f t="shared" si="15"/>
        <v>18</v>
      </c>
      <c r="AF18" s="184">
        <f t="shared" si="15"/>
        <v>0</v>
      </c>
      <c r="AG18" s="184">
        <f t="shared" si="15"/>
        <v>0</v>
      </c>
      <c r="AH18" s="184">
        <f t="shared" si="15"/>
        <v>0</v>
      </c>
      <c r="AI18" s="184">
        <f t="shared" si="15"/>
        <v>0</v>
      </c>
      <c r="AJ18" s="184">
        <f t="shared" si="15"/>
        <v>0</v>
      </c>
      <c r="AK18" s="184">
        <f t="shared" si="15"/>
        <v>0</v>
      </c>
      <c r="AL18" s="184">
        <f t="shared" si="15"/>
        <v>26</v>
      </c>
      <c r="AM18" s="184">
        <f t="shared" si="15"/>
        <v>26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364</v>
      </c>
      <c r="AZ18" s="184">
        <f>SUBTOTAL(9,AZ14:AZ17)</f>
        <v>2024</v>
      </c>
      <c r="BA18" s="184">
        <f>SUBTOTAL(9,BA14:BA17)</f>
        <v>1842</v>
      </c>
      <c r="BB18" s="184">
        <f>SUBTOTAL(9,BB14:BB17)</f>
        <v>567</v>
      </c>
      <c r="BC18" s="184">
        <f>SUBTOTAL(9,BC14:BC17)</f>
        <v>273</v>
      </c>
      <c r="BD18" s="205">
        <f>IF(ISNUMBER(BA18/AZ18),BA18/AZ18," - ")</f>
        <v>0.91007905138339917</v>
      </c>
      <c r="BE18" s="206">
        <f>IF(ISNUMBER(BB18/BA18),BB18/BA18, " - ")</f>
        <v>0.30781758957654726</v>
      </c>
      <c r="BF18" s="206">
        <f>IF(ISNUMBER(BC18/BA18),BC18/BA18, " - ")</f>
        <v>0.1482084690553746</v>
      </c>
      <c r="BG18" s="207">
        <f>IF(ISNUMBER((AY18+AZ18)/BA18),(AY18+AZ18)/BA18," - ")</f>
        <v>1.2964169381107491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1371</v>
      </c>
      <c r="J19" s="134">
        <f t="shared" si="18"/>
        <v>4091</v>
      </c>
      <c r="K19" s="134">
        <f t="shared" si="18"/>
        <v>3785</v>
      </c>
      <c r="L19" s="134">
        <f t="shared" si="18"/>
        <v>1677</v>
      </c>
      <c r="M19" s="134">
        <f t="shared" si="18"/>
        <v>688</v>
      </c>
      <c r="N19" s="134">
        <f t="shared" si="18"/>
        <v>1966</v>
      </c>
      <c r="O19" s="134">
        <f t="shared" si="18"/>
        <v>856</v>
      </c>
      <c r="P19" s="134">
        <f t="shared" si="18"/>
        <v>512</v>
      </c>
      <c r="Q19" s="134">
        <f t="shared" si="18"/>
        <v>362</v>
      </c>
      <c r="R19" s="134">
        <f t="shared" si="18"/>
        <v>1573</v>
      </c>
      <c r="S19" s="134">
        <f t="shared" si="18"/>
        <v>954</v>
      </c>
      <c r="T19" s="134">
        <f t="shared" si="18"/>
        <v>3956</v>
      </c>
      <c r="U19" s="134">
        <f t="shared" si="18"/>
        <v>3520</v>
      </c>
      <c r="V19" s="134">
        <f t="shared" si="18"/>
        <v>1371</v>
      </c>
      <c r="W19" s="134">
        <f t="shared" si="18"/>
        <v>655</v>
      </c>
      <c r="X19" s="134">
        <f t="shared" si="18"/>
        <v>1817</v>
      </c>
      <c r="Y19" s="134">
        <f t="shared" si="18"/>
        <v>13</v>
      </c>
      <c r="Z19" s="134">
        <f t="shared" si="18"/>
        <v>109</v>
      </c>
      <c r="AA19" s="134">
        <f t="shared" si="18"/>
        <v>102</v>
      </c>
      <c r="AB19" s="134">
        <f t="shared" si="18"/>
        <v>20</v>
      </c>
      <c r="AC19" s="134">
        <f t="shared" si="18"/>
        <v>0</v>
      </c>
      <c r="AD19" s="134">
        <f t="shared" si="18"/>
        <v>18</v>
      </c>
      <c r="AE19" s="134">
        <f t="shared" si="18"/>
        <v>18</v>
      </c>
      <c r="AF19" s="134">
        <f t="shared" si="18"/>
        <v>0</v>
      </c>
      <c r="AG19" s="134">
        <f t="shared" si="18"/>
        <v>14</v>
      </c>
      <c r="AH19" s="134">
        <f t="shared" si="18"/>
        <v>84</v>
      </c>
      <c r="AI19" s="134">
        <f t="shared" si="18"/>
        <v>86</v>
      </c>
      <c r="AJ19" s="134">
        <f t="shared" si="18"/>
        <v>13</v>
      </c>
      <c r="AK19" s="134">
        <f t="shared" si="18"/>
        <v>0</v>
      </c>
      <c r="AL19" s="134">
        <f t="shared" si="18"/>
        <v>26</v>
      </c>
      <c r="AM19" s="134">
        <f t="shared" si="18"/>
        <v>26</v>
      </c>
      <c r="AN19" s="210">
        <f t="shared" si="18"/>
        <v>0</v>
      </c>
      <c r="AO19" s="211">
        <v>3</v>
      </c>
      <c r="AP19" s="211">
        <v>2</v>
      </c>
      <c r="AQ19" s="211">
        <v>2</v>
      </c>
      <c r="AR19" s="211">
        <v>2</v>
      </c>
      <c r="AS19" s="153">
        <f t="shared" si="18"/>
        <v>0</v>
      </c>
      <c r="AT19" s="153">
        <f t="shared" si="18"/>
        <v>0</v>
      </c>
      <c r="AU19" s="211"/>
      <c r="AV19" s="212"/>
      <c r="AW19" s="211"/>
      <c r="AX19" s="212"/>
      <c r="AY19" s="133">
        <f>SUBTOTAL(9,AY9:AY18)</f>
        <v>968</v>
      </c>
      <c r="AZ19" s="134">
        <f>SUBTOTAL(9,AZ9:AZ18)</f>
        <v>4040</v>
      </c>
      <c r="BA19" s="134">
        <f>SUBTOTAL(9,BA9:BA18)</f>
        <v>3606</v>
      </c>
      <c r="BB19" s="134">
        <f>SUBTOTAL(9,BB9:BB18)</f>
        <v>1384</v>
      </c>
      <c r="BC19" s="135">
        <f>SUBTOTAL(9,BC9:BC18)</f>
        <v>1027</v>
      </c>
      <c r="BD19" s="213">
        <f>IF(ISNUMBER(BA19/AZ19),BA19/AZ19," - ")</f>
        <v>0.89257425742574259</v>
      </c>
      <c r="BE19" s="210">
        <f>IF(ISNUMBER(BB19/BA19),BB19/BA19, " - ")</f>
        <v>0.38380476982806433</v>
      </c>
      <c r="BF19" s="210">
        <f>IF(ISNUMBER(BC19/BA19),BC19/BA19, " - ")</f>
        <v>0.28480310593455355</v>
      </c>
      <c r="BG19" s="135">
        <f>IF(ISNUMBER((AY19+AZ19)/BA19),(AY19+AZ19)/BA19," - ")</f>
        <v>1.3887964503605104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I2QYMA3FTgcrnwe08eGH4vlNJe96OyuMjE22AoVv2m32/fS9UjJFgqM64lTjJCiChqqJPSNphI02SyHiKceA==" saltValue="Qo940qcDutPnRLj0Ihn6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JoM2UxKeObFTxvREJTaZjsy0LoJmMMLcmHaYYdMiQpmP0A62VOMDy5OamnBdbAkjqSPIbPgFGBfhkqREThJhw==" saltValue="KTkk2PxSaWO4il/QPVTU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17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2</v>
      </c>
      <c r="BE10" s="229" t="str">
        <f>IF(ISNUMBER(Datos!BW10),Datos!BW10," - ")</f>
        <v xml:space="preserve"> - </v>
      </c>
      <c r="BF10" s="228" t="str">
        <f>IF(ISNUMBER(Datos!BX10),Datos!BX10," - ")</f>
        <v xml:space="preserve"> - </v>
      </c>
      <c r="BG10" s="243">
        <f>IF(ISNUMBER(Datos!K10/Datos!J10),Datos!K10/Datos!J10," - ")</f>
        <v>0.65384615384615385</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109</v>
      </c>
      <c r="O12" s="334"/>
      <c r="P12" s="334"/>
      <c r="Q12" s="226">
        <f>IF(ISNUMBER(Datos!P12),Datos!P12,0)</f>
        <v>478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1528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421</v>
      </c>
      <c r="BD12" s="229">
        <f>IF(ISNUMBER(Datos!N12),Datos!N12," - ")</f>
        <v>859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0.88118811881188119</v>
      </c>
      <c r="BH12" s="260">
        <f>IF(ISNUMBER(((IF(J_V="SI",Datos!L12/Datos!K12,(Datos!L12+Datos!AB12)/(Datos!K12+Datos!AA12)))*11)/factor_trimestre),((IF(J_V="SI",Datos!L12/Datos!K12,(Datos!L12+Datos!AB12)/(Datos!K12+Datos!AA12)))*11)/factor_trimestre," - ")</f>
        <v>6.0280898876404496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0.10965867828612927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109</v>
      </c>
      <c r="O13" s="900">
        <f t="shared" si="0"/>
        <v>0</v>
      </c>
      <c r="P13" s="900">
        <f t="shared" si="0"/>
        <v>0</v>
      </c>
      <c r="Q13" s="899">
        <f t="shared" si="0"/>
        <v>480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328</v>
      </c>
      <c r="AD13" s="899">
        <f t="shared" si="1"/>
        <v>0</v>
      </c>
      <c r="AE13" s="899">
        <f t="shared" si="1"/>
        <v>0</v>
      </c>
      <c r="AF13" s="899">
        <f t="shared" si="1"/>
        <v>17</v>
      </c>
      <c r="AG13" s="899">
        <f t="shared" si="1"/>
        <v>0</v>
      </c>
      <c r="AH13" s="899">
        <f t="shared" si="1"/>
        <v>20</v>
      </c>
      <c r="AI13" s="899">
        <f t="shared" si="1"/>
        <v>0</v>
      </c>
      <c r="AJ13" s="899">
        <f t="shared" si="1"/>
        <v>0</v>
      </c>
      <c r="AK13" s="899">
        <f t="shared" si="1"/>
        <v>0</v>
      </c>
      <c r="AL13" s="899">
        <f t="shared" si="1"/>
        <v>0</v>
      </c>
      <c r="AM13" s="899">
        <f t="shared" si="1"/>
        <v>1533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433</v>
      </c>
      <c r="BD13" s="899">
        <f t="shared" si="1"/>
        <v>861</v>
      </c>
      <c r="BE13" s="899">
        <f t="shared" si="1"/>
        <v>0</v>
      </c>
      <c r="BF13" s="899">
        <f t="shared" si="1"/>
        <v>0</v>
      </c>
      <c r="BG13" s="899">
        <f>IF(ISNUMBER(Datos!K13/Datos!J13),Datos!K13/Datos!J13," - ")</f>
        <v>0.8756428237494156</v>
      </c>
      <c r="BH13" s="903">
        <f>IF(ISNUMBER(((Datos!L13/Datos!K13)*11)/factor_trimestre),((Datos!L13/Datos!K13)*11)/factor_trimestre," - ")</f>
        <v>6.2840363053924193</v>
      </c>
      <c r="BI13" s="899">
        <f>IF(ISNUMBER('Resol  Asuntos'!D13/NºAsuntos!G13),'Resol  Asuntos'!D13/NºAsuntos!G13," - ")</f>
        <v>0.21924050632911393</v>
      </c>
      <c r="BJ13" s="899" t="str">
        <f>IF(ISNUMBER(Datos!CI13/Datos!CJ13),Datos!CI13/Datos!CJ13," - ")</f>
        <v xml:space="preserve"> - </v>
      </c>
      <c r="BK13" s="899">
        <f>SUBTOTAL(9,BK8:BK12)</f>
        <v>0</v>
      </c>
      <c r="BL13" s="899">
        <f>IF(ISNUMBER((I13-AB13+L13)/(F13)),(I13-AB13+L13)/(F13)," - ")</f>
        <v>-2.125</v>
      </c>
      <c r="BM13" s="904">
        <f>SUBTOTAL(9,BM9:BM12)</f>
        <v>0.3596586782861293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517</v>
      </c>
      <c r="G16" s="598">
        <f>IF(ISNUMBER(IF(D_I="SI",Datos!I16,Datos!I16+Datos!AC16)),IF(D_I="SI",Datos!I16,Datos!I16+Datos!AC16)," - ")</f>
        <v>517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1702</v>
      </c>
      <c r="AC16" s="226">
        <f>IF(ISNUMBER(Datos!Q16),Datos!Q16," - ")</f>
        <v>31</v>
      </c>
      <c r="AD16" s="334"/>
      <c r="AE16" s="484"/>
      <c r="AF16" s="596">
        <f>IF(ISNUMBER(IF(D_I="SI",Datos!L16,Datos!L16+Datos!AF16)),IF(D_I="SI",Datos!L16,Datos!L16+Datos!AF16)," - ")</f>
        <v>557</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206</v>
      </c>
      <c r="BD16" s="229">
        <f>IF(ISNUMBER(Datos!N16),Datos!N16," - ")</f>
        <v>1019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0.97703788748564868</v>
      </c>
      <c r="BH16" s="260">
        <f>IF(ISNUMBER(((IF(D_I="SI",Datos!L16/Datos!K16,(Datos!L16+Datos!AF16)/(Datos!K16+Datos!AE16)))*11)/factor_trimestre),((IF(D_I="SI",Datos!L16/Datos!K16,(Datos!L16+Datos!AF16)/(Datos!K16+Datos!AE16)))*11)/factor_trimestre," - ")</f>
        <v>3.5998824911868392</v>
      </c>
      <c r="BI16" s="243">
        <f>IF(ISNUMBER('Resol  Asuntos'!D16/NºAsuntos!G16),'Resol  Asuntos'!D16/NºAsuntos!G16," - ")</f>
        <v>0.12103407755581669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210</v>
      </c>
      <c r="AC17" s="226">
        <f>IF(ISNUMBER(Datos!Q17),Datos!Q17," - ")</f>
        <v>3</v>
      </c>
      <c r="AD17" s="334"/>
      <c r="AE17" s="484"/>
      <c r="AF17" s="332">
        <f>IF(ISNUMBER(Datos!L17),Datos!L17,"-")</f>
        <v>50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49</v>
      </c>
      <c r="BD17" s="229">
        <f>IF(ISNUMBER(Datos!N17),Datos!N17," - ")</f>
        <v>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2.6190476190476191</v>
      </c>
      <c r="BI17" s="243">
        <f>IF(ISNUMBER('Resol  Asuntos'!D17/NºAsuntos!G17),'Resol  Asuntos'!D17/NºAsuntos!G17," - ")</f>
        <v>0.23333333333333334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517</v>
      </c>
      <c r="G18" s="898">
        <f>SUBTOTAL(9,G15:G17)</f>
        <v>567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1912</v>
      </c>
      <c r="AC18" s="899">
        <f t="shared" si="4"/>
        <v>34</v>
      </c>
      <c r="AD18" s="899">
        <f t="shared" si="4"/>
        <v>0</v>
      </c>
      <c r="AE18" s="899">
        <f t="shared" si="4"/>
        <v>0</v>
      </c>
      <c r="AF18" s="899">
        <f t="shared" si="4"/>
        <v>607</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255</v>
      </c>
      <c r="BD18" s="899">
        <f t="shared" si="4"/>
        <v>1105</v>
      </c>
      <c r="BE18" s="899">
        <f t="shared" si="4"/>
        <v>0</v>
      </c>
      <c r="BF18" s="899">
        <f t="shared" si="4"/>
        <v>0</v>
      </c>
      <c r="BG18" s="899">
        <f>IF(ISNUMBER(Datos!K18/Datos!J18),Datos!K18/Datos!J18," - ")</f>
        <v>0.97950819672131151</v>
      </c>
      <c r="BH18" s="903">
        <f>IF(ISNUMBER(((Datos!L18/Datos!K18)*11)/factor_trimestre),((Datos!L18/Datos!K18)*11)/factor_trimestre," - ")</f>
        <v>3.4921548117154813</v>
      </c>
      <c r="BI18" s="899">
        <f>SUBTOTAL(9,BI15:BI17)</f>
        <v>0.35436741088915003</v>
      </c>
      <c r="BJ18" s="899">
        <f>SUBTOTAL(9,BJ15:BJ17)</f>
        <v>0</v>
      </c>
      <c r="BK18" s="899">
        <f>SUBTOTAL(9,BK15:BK17)</f>
        <v>0</v>
      </c>
      <c r="BL18" s="899">
        <f>IF(ISNUMBER((I18-AB18+L18)/(F18)),(I18-AB18+L18)/(F18)," - ")</f>
        <v>-3.6982591876208897</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525</v>
      </c>
      <c r="G19" s="820">
        <f t="shared" si="6"/>
        <v>575</v>
      </c>
      <c r="H19" s="822">
        <f t="shared" si="6"/>
        <v>0</v>
      </c>
      <c r="I19" s="820">
        <f t="shared" si="6"/>
        <v>0</v>
      </c>
      <c r="J19" s="822">
        <f t="shared" si="6"/>
        <v>0</v>
      </c>
      <c r="K19" s="822">
        <f t="shared" si="6"/>
        <v>0</v>
      </c>
      <c r="L19" s="881">
        <f t="shared" si="6"/>
        <v>0</v>
      </c>
      <c r="M19" s="881">
        <f t="shared" si="6"/>
        <v>0</v>
      </c>
      <c r="N19" s="881">
        <f t="shared" si="6"/>
        <v>109</v>
      </c>
      <c r="O19" s="881">
        <f t="shared" si="6"/>
        <v>0</v>
      </c>
      <c r="P19" s="881">
        <f t="shared" si="6"/>
        <v>0</v>
      </c>
      <c r="Q19" s="822">
        <f t="shared" si="6"/>
        <v>512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1929</v>
      </c>
      <c r="AC19" s="821">
        <f t="shared" si="7"/>
        <v>362</v>
      </c>
      <c r="AD19" s="821">
        <f t="shared" si="7"/>
        <v>0</v>
      </c>
      <c r="AE19" s="821">
        <f t="shared" si="7"/>
        <v>0</v>
      </c>
      <c r="AF19" s="828">
        <f t="shared" si="7"/>
        <v>624</v>
      </c>
      <c r="AG19" s="828">
        <f t="shared" si="7"/>
        <v>0</v>
      </c>
      <c r="AH19" s="828">
        <f t="shared" si="7"/>
        <v>20</v>
      </c>
      <c r="AI19" s="828">
        <f t="shared" si="7"/>
        <v>0</v>
      </c>
      <c r="AJ19" s="821">
        <f t="shared" si="7"/>
        <v>0</v>
      </c>
      <c r="AK19" s="828">
        <f t="shared" si="7"/>
        <v>0</v>
      </c>
      <c r="AL19" s="828">
        <f t="shared" si="7"/>
        <v>0</v>
      </c>
      <c r="AM19" s="828">
        <f t="shared" si="7"/>
        <v>1573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688</v>
      </c>
      <c r="BD19" s="820">
        <f t="shared" si="7"/>
        <v>1966</v>
      </c>
      <c r="BE19" s="820">
        <f t="shared" si="7"/>
        <v>0</v>
      </c>
      <c r="BF19" s="830">
        <f t="shared" si="7"/>
        <v>0</v>
      </c>
      <c r="BG19" s="915">
        <f>IF(ISNUMBER(Datos!K19/Datos!J19),Datos!K19/Datos!J19," - ")</f>
        <v>0.92520166218528477</v>
      </c>
      <c r="BH19" s="915">
        <f>IF(ISNUMBER(((Datos!L19/Datos!K19)*11)/factor_trimestre),((Datos!L19/Datos!K19)*11)/factor_trimestre," - ")</f>
        <v>4.8737120211360638</v>
      </c>
      <c r="BI19" s="813">
        <f>IF(ISNUMBER(Datos!J19/Datos!I19),Datos!J19/Datos!I19," - ")</f>
        <v>2.9839533187454412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-3.6742857142857144</v>
      </c>
      <c r="BM19" s="889">
        <f>IF(ISNUMBER((Datos!P19-Datos!Q19+R19)/(Datos!R19-Datos!P19+Datos!Q19-R19)),(Datos!P19-Datos!Q19+R19)/(Datos!R19-Datos!P19+Datos!Q19-R19)," - ")</f>
        <v>0.10541110330288124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293.87128701751948</v>
      </c>
      <c r="G21" s="552">
        <f>IF(ISNUMBER(STDEV(G8:G18)),STDEV(G8:G18),"-")</f>
        <v>285.87847068291097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951.36654345210184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178.42271903170476</v>
      </c>
      <c r="BD21" s="551"/>
      <c r="BE21" s="551">
        <f>IF(ISNUMBER(STDEV(BE8:BE18)),STDEV(BE8:BE18),"-")</f>
        <v>0</v>
      </c>
      <c r="BF21" s="556">
        <f>IF(ISNUMBER(STDEV(BF8:BF18)),STDEV(BF8:BF18),"-")</f>
        <v>0</v>
      </c>
      <c r="BG21" s="775">
        <f>IF(ISNUMBER(STDEV(BG8:BG18)),STDEV(BG8:BG18),"-")</f>
        <v>0.12931837535660301</v>
      </c>
      <c r="BH21" s="776">
        <f>IF(ISNUMBER(STDEV(BH8:BH18)),STDEV(BH8:BH18),"-")</f>
        <v>3.0687221292808253</v>
      </c>
      <c r="BI21" s="249">
        <f>IF(ISNUMBER(STDEV(BI8:BI18)),STDEV(BI8:BI18),"-")</f>
        <v>9.5658771153759772E-2</v>
      </c>
      <c r="BJ21" s="230" t="str">
        <f>IF(ISNUMBER(BL21/BM21),BL21/BM21," - ")</f>
        <v xml:space="preserve"> - </v>
      </c>
      <c r="BK21" s="575"/>
      <c r="BL21" s="559">
        <f>IF(ISNUMBER(STDEV(BL8:BL18)),STDEV(BL8:BL18),"-")</f>
        <v>1.1124622401307707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Xy8IOFUYxIgd/mm6jUG1Iz15kxCLSfJZQEfz75/gXGH5cWZwl66ZQGaCqUQHcJMgQ5XgGptJQy+E1jeBWUgrQ==" saltValue="vKso+44cy9E+Yqmo53h7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MONZON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17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327</v>
      </c>
      <c r="AA12" s="332" t="str">
        <f>IF(ISNUMBER(IF(J_V="SI",Datos!L12,Datos!L12+Datos!AB12)-IF(Monitorios="SI",Datos!CD12,0)),
                          IF(J_V="SI",Datos!L12,Datos!L12+Datos!AB12)-IF(Monitorios="SI",Datos!CD12,0),
                          " - ")</f>
        <v xml:space="preserve"> - </v>
      </c>
      <c r="AB12" s="334"/>
      <c r="AC12" s="334"/>
      <c r="AD12" s="484"/>
      <c r="AE12" s="484">
        <f>IF(ISNUMBER(Datos!R12),Datos!R12," - ")</f>
        <v>1528</v>
      </c>
      <c r="AF12" s="229" t="str">
        <f>IF(ISNUMBER(Datos!BV12),Datos!BV12," - ")</f>
        <v xml:space="preserve"> - </v>
      </c>
      <c r="AG12" s="225" t="str">
        <f>IF(ISNUMBER(Datos!DV12),Datos!DV12," - ")</f>
        <v xml:space="preserve"> - </v>
      </c>
      <c r="AH12" s="298"/>
      <c r="AI12" s="227"/>
      <c r="AJ12" s="225">
        <f>IF(ISNUMBER(Datos!M12),Datos!M12," - ")</f>
        <v>421</v>
      </c>
      <c r="AK12" s="229">
        <f>IF(ISNUMBER(Datos!N12),Datos!N12," - ")</f>
        <v>859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6.0280898876404496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0.10965867828612927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480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328</v>
      </c>
      <c r="AA13" s="900">
        <f t="shared" si="2"/>
        <v>17</v>
      </c>
      <c r="AB13" s="900">
        <f t="shared" si="2"/>
        <v>0</v>
      </c>
      <c r="AC13" s="900">
        <f t="shared" si="2"/>
        <v>0</v>
      </c>
      <c r="AD13" s="900">
        <f t="shared" si="2"/>
        <v>0</v>
      </c>
      <c r="AE13" s="900">
        <f t="shared" si="2"/>
        <v>1533</v>
      </c>
      <c r="AF13" s="908">
        <f t="shared" si="2"/>
        <v>0</v>
      </c>
      <c r="AG13" s="908">
        <f t="shared" si="2"/>
        <v>0</v>
      </c>
      <c r="AH13" s="908">
        <f t="shared" si="2"/>
        <v>0</v>
      </c>
      <c r="AI13" s="908">
        <f t="shared" si="2"/>
        <v>0</v>
      </c>
      <c r="AJ13" s="908">
        <f t="shared" si="2"/>
        <v>433</v>
      </c>
      <c r="AK13" s="908">
        <f t="shared" si="2"/>
        <v>861</v>
      </c>
      <c r="AL13" s="908">
        <f t="shared" si="2"/>
        <v>0</v>
      </c>
      <c r="AM13" s="908">
        <f t="shared" si="2"/>
        <v>0</v>
      </c>
      <c r="AN13" s="908">
        <f t="shared" si="2"/>
        <v>0</v>
      </c>
      <c r="AO13" s="904">
        <f>IF(ISNUMBER(((NºAsuntos!I13/NºAsuntos!G13)*11)/factor_trimestre),((NºAsuntos!I13/NºAsuntos!G13)*11)/factor_trimestre," - ")</f>
        <v>6.0708860759493675</v>
      </c>
      <c r="AP13" s="910" t="str">
        <f>IF(ISNUMBER(Datos!CI13/Datos!CJ13),Datos!CI13/Datos!CJ13," - ")</f>
        <v xml:space="preserve"> - </v>
      </c>
      <c r="AQ13" s="928">
        <f t="shared" ref="AQ13:AV13" si="3">SUBTOTAL(9,AQ9:AQ12)</f>
        <v>0</v>
      </c>
      <c r="AR13" s="928">
        <f t="shared" si="3"/>
        <v>0.3596586782861293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517</v>
      </c>
      <c r="G16" s="225">
        <f>IF(ISNUMBER(IF(D_I="SI",Datos!I16,Datos!I16+Datos!AC16)),IF(D_I="SI",Datos!I16,Datos!I16+Datos!AC16)," - ")</f>
        <v>517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1702</v>
      </c>
      <c r="Z16" s="619">
        <f>IF(ISNUMBER(Datos!Q16),Datos!Q16," - ")</f>
        <v>31</v>
      </c>
      <c r="AA16" s="332">
        <f>IF(ISNUMBER(IF(D_I="SI",Datos!L16,Datos!L16+Datos!AF16)),IF(D_I="SI",Datos!L16,Datos!L16+Datos!AF16)," - ")</f>
        <v>557</v>
      </c>
      <c r="AB16" s="334"/>
      <c r="AC16" s="334"/>
      <c r="AD16" s="484"/>
      <c r="AE16" s="484">
        <f>IF(ISNUMBER(Datos!R16),Datos!R16," - ")</f>
        <v>38</v>
      </c>
      <c r="AF16" s="229" t="str">
        <f>IF(ISNUMBER(Datos!BV16),Datos!BV16," - ")</f>
        <v xml:space="preserve"> - </v>
      </c>
      <c r="AG16" s="225"/>
      <c r="AH16" s="298"/>
      <c r="AI16" s="227"/>
      <c r="AJ16" s="225">
        <f>IF(ISNUMBER(Datos!M16),Datos!M16," - ")</f>
        <v>206</v>
      </c>
      <c r="AK16" s="229">
        <f>IF(ISNUMBER(Datos!N16),Datos!N16," - ")</f>
        <v>1019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3.5998824911868392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210</v>
      </c>
      <c r="Z17" s="619">
        <f>IF(ISNUMBER(Datos!Q17),Datos!Q17," - ")</f>
        <v>3</v>
      </c>
      <c r="AA17" s="332">
        <f>IF(ISNUMBER(Datos!L17),Datos!L17,"-")</f>
        <v>50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49</v>
      </c>
      <c r="AK17" s="229">
        <f>IF(ISNUMBER(Datos!N17),Datos!N17," - ")</f>
        <v>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2.6190476190476191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517</v>
      </c>
      <c r="G18" s="898">
        <f>SUBTOTAL(9,G15:G17)</f>
        <v>567</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1912</v>
      </c>
      <c r="Z18" s="932">
        <f t="shared" si="5"/>
        <v>34</v>
      </c>
      <c r="AA18" s="932">
        <f t="shared" si="5"/>
        <v>607</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255</v>
      </c>
      <c r="AK18" s="932">
        <f t="shared" si="5"/>
        <v>1105</v>
      </c>
      <c r="AL18" s="932">
        <f t="shared" si="5"/>
        <v>0</v>
      </c>
      <c r="AM18" s="932">
        <f t="shared" si="5"/>
        <v>0</v>
      </c>
      <c r="AN18" s="932">
        <f t="shared" si="5"/>
        <v>0</v>
      </c>
      <c r="AO18" s="934">
        <f>IF(ISNUMBER(((NºAsuntos!I18/NºAsuntos!G18)*11)/factor_trimestre),((NºAsuntos!I18/NºAsuntos!G18)*11)/factor_trimestre," - ")</f>
        <v>3.4921548117154813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525</v>
      </c>
      <c r="G19" s="820">
        <f t="shared" si="7"/>
        <v>575</v>
      </c>
      <c r="H19" s="821">
        <f t="shared" si="7"/>
        <v>0</v>
      </c>
      <c r="I19" s="820">
        <f t="shared" si="7"/>
        <v>0</v>
      </c>
      <c r="J19" s="822">
        <f t="shared" si="7"/>
        <v>0</v>
      </c>
      <c r="K19" s="820">
        <f t="shared" si="7"/>
        <v>0</v>
      </c>
      <c r="L19" s="823">
        <f t="shared" si="7"/>
        <v>0</v>
      </c>
      <c r="M19" s="820">
        <f t="shared" si="7"/>
        <v>0</v>
      </c>
      <c r="N19" s="821">
        <f t="shared" si="7"/>
        <v>512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1929</v>
      </c>
      <c r="Z19" s="827">
        <f t="shared" si="8"/>
        <v>362</v>
      </c>
      <c r="AA19" s="828">
        <f t="shared" si="8"/>
        <v>624</v>
      </c>
      <c r="AB19" s="828">
        <f t="shared" si="8"/>
        <v>0</v>
      </c>
      <c r="AC19" s="828">
        <f t="shared" si="8"/>
        <v>0</v>
      </c>
      <c r="AD19" s="829">
        <f t="shared" si="8"/>
        <v>0</v>
      </c>
      <c r="AE19" s="829">
        <f t="shared" si="8"/>
        <v>1573</v>
      </c>
      <c r="AF19" s="830">
        <f t="shared" si="8"/>
        <v>0</v>
      </c>
      <c r="AG19" s="831">
        <f t="shared" si="8"/>
        <v>0</v>
      </c>
      <c r="AH19" s="832">
        <f t="shared" si="8"/>
        <v>0</v>
      </c>
      <c r="AI19" s="830">
        <f t="shared" si="8"/>
        <v>0</v>
      </c>
      <c r="AJ19" s="820">
        <f t="shared" si="8"/>
        <v>688</v>
      </c>
      <c r="AK19" s="820">
        <f t="shared" si="8"/>
        <v>1966</v>
      </c>
      <c r="AL19" s="820">
        <f t="shared" si="8"/>
        <v>0</v>
      </c>
      <c r="AM19" s="833">
        <f t="shared" si="8"/>
        <v>0</v>
      </c>
      <c r="AN19" s="823">
        <f>IF(ISNUMBER(Datos!K19/Datos!J19),Datos!K19/Datos!J19," - ")</f>
        <v>0.92520166218528477</v>
      </c>
      <c r="AO19" s="823">
        <f>IF(ISNUMBER(FIND("06",Criterios!A8,1)),(IF(ISNUMBER(((Datos!R19/Datos!Q19)*11)/factor_trimestre),((Datos!R19/Datos!Q19)*11)/factor_trimestre," - ")),(IF(ISNUMBER(((Datos!L19/Datos!K19)*11)/factor_trimestre),((Datos!L19/Datos!K19)*11)/factor_trimestre," - ")))</f>
        <v>4.8737120211360638</v>
      </c>
      <c r="AP19" s="834" t="str">
        <f>IF(ISNUMBER(Datos!CI19/Datos!CJ19),Datos!CI19/Datos!CJ19," - ")</f>
        <v xml:space="preserve"> - </v>
      </c>
      <c r="AQ19" s="834">
        <f>IF(OR(ISNUMBER(FIND("01",Criterios!A8,1)),ISNUMBER(FIND("02",Criterios!A8,1)),ISNUMBER(FIND("03",Criterios!A8,1)),ISNUMBER(FIND("04",Criterios!A8,1))),(J19-Y19+K19)/(F19-K19),(I19-Y19+K19)/(F19-K19))</f>
        <v>-3.6742857142857144</v>
      </c>
      <c r="AR19" s="834">
        <f>IF(ISNUMBER((Datos!P19-Datos!Q19+O19)/(Datos!R19-Datos!P19+Datos!Q19-O19)),(Datos!P19-Datos!Q19+O19)/(Datos!R19-Datos!P19+Datos!Q19-O19)," - ")</f>
        <v>0.10541110330288124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293.87128701751948</v>
      </c>
      <c r="G21" s="552">
        <f>IF(ISNUMBER(STDEV(G8:G18)),STDEV(G8:G18),"-")</f>
        <v>285.87847068291097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178.42271903170476</v>
      </c>
      <c r="AK21" s="252"/>
      <c r="AL21" s="252">
        <f>IF(ISNUMBER(STDEV(AL8:AL18)),STDEV(AL8:AL18),"-")</f>
        <v>0</v>
      </c>
      <c r="AM21" s="254">
        <f>IF(ISNUMBER(STDEV(AM8:AM18)),STDEV(AM8:AM18),"-")</f>
        <v>0</v>
      </c>
      <c r="AN21" s="539">
        <f>IF(ISNUMBER(STDEV(AN8:AN18)),STDEV(AN8:AN18),"-")</f>
        <v>0</v>
      </c>
      <c r="AO21" s="540">
        <f>IF(ISNUMBER(STDEV(AO8:AO18)),STDEV(AO8:AO18),"-")</f>
        <v>3.0591028913284846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6k10D13jP50V8UYWhBr7RykQw3EtriGG7n16wVtd4GhlTaT581G5GT1W0f0Lt5lpqdb02GEqTQ312/uZLMjA==" saltValue="5oTMkKAMYdicxm5KPbOE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T/eg4/RuCtXcBn3PkROKbyg+IAKvmXCPkXBnHG7+xbTQcM8O0HPHySk6hY9yzXUmTz0q/uVug2pUrLbRnbRHA==" saltValue="2QyNLJuxaakb4N3TyLC70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aneu69P/zKZQkuPueCO8I5w5fFB8SHt8WiPFzepPlQ0vODbT3RCX9t8BsfJCU5kYx3SCyXh8LXeo6B/wUrlA==" saltValue="aWL9wD/ivJXvOIvrieTP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0.21924050632911393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0.15502644873608865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1fSfgkvxACn5RIPkvgldyrZRE4eZ0SyTykY9AbDe4T25rSCL85Hz9IKX64b0qabCYFDI6T14kP30JEC+CeSoA==" saltValue="o0AECKFLjxzZsTqldEmY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ThdK1vkEQvdLEPEdGP/HYYW5noeOu+QZMRicqUt3/QBjYevYFVJ3O7FG+ToOPQ2m6EV5tM+8MwedGjbCZBGpg==" saltValue="OUelQlbOHmU6EnIb37JJ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MONZON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421</v>
      </c>
      <c r="AM12" s="690">
        <f>IF(ISNUMBER(Datos!N12+DatosP!N16),Datos!N12+DatosP!N16," - ")</f>
        <v>859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6.0280898876404496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0.10965867828612927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480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327</v>
      </c>
      <c r="AE13" s="939">
        <f t="shared" si="1"/>
        <v>0</v>
      </c>
      <c r="AF13" s="939">
        <f t="shared" si="1"/>
        <v>17</v>
      </c>
      <c r="AG13" s="939">
        <f t="shared" si="1"/>
        <v>0</v>
      </c>
      <c r="AH13" s="939">
        <f t="shared" si="1"/>
        <v>1528</v>
      </c>
      <c r="AI13" s="939">
        <f t="shared" si="1"/>
        <v>0</v>
      </c>
      <c r="AJ13" s="939">
        <f t="shared" si="1"/>
        <v>0</v>
      </c>
      <c r="AK13" s="939">
        <f t="shared" si="1"/>
        <v>0</v>
      </c>
      <c r="AL13" s="939">
        <f t="shared" si="1"/>
        <v>433</v>
      </c>
      <c r="AM13" s="939">
        <f t="shared" si="1"/>
        <v>861</v>
      </c>
      <c r="AN13" s="939">
        <f t="shared" si="1"/>
        <v>0</v>
      </c>
      <c r="AO13" s="939">
        <f t="shared" si="1"/>
        <v>0</v>
      </c>
      <c r="AP13" s="944">
        <f>IF(ISNUMBER(((Datos!L13/Datos!K13)*11)/factor_trimestre),((Datos!L13/Datos!K13)*11)/factor_trimestre," - ")</f>
        <v>6.2840363053924193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-2.125</v>
      </c>
      <c r="AU13" s="939" t="str">
        <f>IF(ISNUMBER((DatosP!#REF!-DatosP!#REF!+DatosP!#REF!)/(DatosP!#REF!+DatosP!#REF!-DatosP!#REF!-DatosP!#REF!)),(DatosP!#REF!-DatosP!#REF!+DatosP!#REF!)/(DatosP!#REF!+DatosP!#REF!-DatosP!#REF!-DatosP!#REF!)," - ")</f>
        <v xml:space="preserve"> - </v>
      </c>
      <c r="AV13" s="945">
        <f>SUBTOTAL(9,AV9:AV12)</f>
        <v>0.10965867828612927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3.4921548117154813</v>
      </c>
      <c r="AQ18" s="944">
        <f>IF(ISNUMBER(((Datos!M18/Datos!L18)*11)/factor_trimestre),((Datos!M18/Datos!L18)*11)/factor_trimestre," - ")</f>
        <v>4.6210873146622733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-1.6216216216216217E-2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480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327</v>
      </c>
      <c r="AE19" s="957">
        <f t="shared" si="5"/>
        <v>0</v>
      </c>
      <c r="AF19" s="958">
        <f t="shared" si="5"/>
        <v>17</v>
      </c>
      <c r="AG19" s="958">
        <f t="shared" si="5"/>
        <v>0</v>
      </c>
      <c r="AH19" s="958">
        <f t="shared" si="5"/>
        <v>1528</v>
      </c>
      <c r="AI19" s="958">
        <f t="shared" si="5"/>
        <v>0</v>
      </c>
      <c r="AJ19" s="959">
        <f t="shared" si="5"/>
        <v>0</v>
      </c>
      <c r="AK19" s="959">
        <f t="shared" si="5"/>
        <v>0</v>
      </c>
      <c r="AL19" s="951">
        <f t="shared" si="5"/>
        <v>433</v>
      </c>
      <c r="AM19" s="951">
        <f t="shared" si="5"/>
        <v>861</v>
      </c>
      <c r="AN19" s="951">
        <f t="shared" si="5"/>
        <v>0</v>
      </c>
      <c r="AO19" s="951">
        <f t="shared" si="5"/>
        <v>0</v>
      </c>
      <c r="AP19" s="951">
        <f>IF(ISNUMBER(((Datos!L19/Datos!K19)*11)/factor_trimestre),((Datos!L19/Datos!K19)*11)/factor_trimestre," - ")</f>
        <v>4.8737120211360638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0.10541110330288124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243.16318252016143</v>
      </c>
      <c r="AM21" s="736"/>
      <c r="AN21" s="736">
        <f>IF(ISNUMBER(STDEV(AN8:AN18)),STDEV(AN8:AN18),"-")</f>
        <v>0</v>
      </c>
      <c r="AO21" s="742">
        <f>IF(ISNUMBER(STDEV(AO8:AO18)),STDEV(AO8:AO18),"-")</f>
        <v>0</v>
      </c>
      <c r="AP21" s="779">
        <f>IF(ISNUMBER(STDEV(AP8:AP18)),STDEV(AP8:AP18),"-")</f>
        <v>3.1307483218645125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9v0BCI08gV1dmVcnivFCF/2LZXip/TNGW1ffhBehmNUOxKPfvgd9JmCWhVr9K5OyL0sSpEBkYBo4ScSy/KxKA==" saltValue="FvME8F3PbILaMF5sqJ8S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